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OARD\Committees\Finance Committee\05.11.26 Finance Committee Meeting\"/>
    </mc:Choice>
  </mc:AlternateContent>
  <xr:revisionPtr revIDLastSave="0" documentId="13_ncr:1_{5881AF9E-C03F-4E23-BB70-B2BFCDB1D8D5}" xr6:coauthVersionLast="47" xr6:coauthVersionMax="47" xr10:uidLastSave="{00000000-0000-0000-0000-000000000000}"/>
  <bookViews>
    <workbookView xWindow="-28920" yWindow="-120" windowWidth="29040" windowHeight="15720" firstSheet="1" activeTab="4" xr2:uid="{00000000-000D-0000-FFFF-FFFF00000000}"/>
  </bookViews>
  <sheets>
    <sheet name="Cover" sheetId="13" r:id="rId1"/>
    <sheet name="Financial Position" sheetId="1" r:id="rId2"/>
    <sheet name="Stmt Activities" sheetId="2" r:id="rId3"/>
    <sheet name="Functional Exp" sheetId="3" r:id="rId4"/>
    <sheet name="Restricted Net Asset Changes" sheetId="8" r:id="rId5"/>
    <sheet name="Budget variance " sheetId="11" r:id="rId6"/>
    <sheet name="FY26 Projections " sheetId="12" r:id="rId7"/>
    <sheet name="Endowment" sheetId="7" r:id="rId8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EW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5">'Budget variance '!$A$1:$H$52</definedName>
    <definedName name="_xlnm.Print_Area" localSheetId="0">Cover!$A$1:$J$38</definedName>
    <definedName name="_xlnm.Print_Area" localSheetId="7">Endowment!$A$1:$E$14</definedName>
    <definedName name="_xlnm.Print_Area" localSheetId="1">'Financial Position'!$A$1:$G$35</definedName>
    <definedName name="_xlnm.Print_Area" localSheetId="3">'Functional Exp'!$A$1:$M$46</definedName>
    <definedName name="_xlnm.Print_Area" localSheetId="6">'FY26 Projections '!$A$1:$J$51</definedName>
    <definedName name="_xlnm.Print_Area" localSheetId="4">'Restricted Net Asset Changes'!$A$1:$H$43</definedName>
    <definedName name="_xlnm.Print_Area" localSheetId="2">'Stmt Activities'!$A$1:$I$36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E25" i="8"/>
  <c r="H46" i="3"/>
  <c r="E44" i="3"/>
  <c r="E46" i="3"/>
  <c r="E4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D12" i="12"/>
  <c r="E12" i="12" s="1"/>
  <c r="D8" i="12"/>
  <c r="D5" i="12"/>
  <c r="D7" i="12"/>
  <c r="C42" i="12"/>
  <c r="F34" i="2"/>
  <c r="D42" i="12" l="1"/>
  <c r="I46" i="3"/>
  <c r="D47" i="12"/>
  <c r="C47" i="12"/>
  <c r="E40" i="12"/>
  <c r="E39" i="12"/>
  <c r="E42" i="12" s="1"/>
  <c r="C8" i="12"/>
  <c r="C49" i="11"/>
  <c r="F51" i="11"/>
  <c r="D10" i="11"/>
  <c r="C10" i="11"/>
  <c r="L37" i="3" l="1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K18" i="3"/>
  <c r="H34" i="2" l="1"/>
  <c r="H36" i="2" s="1"/>
  <c r="F36" i="2"/>
  <c r="E34" i="2"/>
  <c r="E36" i="2" s="1"/>
  <c r="D36" i="2"/>
  <c r="D34" i="2"/>
  <c r="E14" i="2"/>
  <c r="C38" i="3" l="1"/>
  <c r="B38" i="3"/>
  <c r="H30" i="2"/>
  <c r="F12" i="2"/>
  <c r="F11" i="2"/>
  <c r="F24" i="1" l="1"/>
  <c r="D24" i="1"/>
  <c r="F25" i="1"/>
  <c r="D25" i="1"/>
  <c r="D30" i="2" l="1"/>
  <c r="F8" i="1"/>
  <c r="F23" i="2" l="1"/>
  <c r="E47" i="12" l="1"/>
  <c r="H47" i="12" s="1"/>
  <c r="E49" i="11"/>
  <c r="E16" i="11" l="1"/>
  <c r="D44" i="11"/>
  <c r="E7" i="11"/>
  <c r="F30" i="2"/>
  <c r="F42" i="8"/>
  <c r="E42" i="8"/>
  <c r="D42" i="8"/>
  <c r="C42" i="8"/>
  <c r="G5" i="8"/>
  <c r="H40" i="12" l="1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E8" i="12"/>
  <c r="E6" i="12"/>
  <c r="H6" i="12" s="1"/>
  <c r="E5" i="12"/>
  <c r="H5" i="12" s="1"/>
  <c r="G42" i="12"/>
  <c r="G8" i="12"/>
  <c r="G9" i="12" s="1"/>
  <c r="C9" i="12"/>
  <c r="C11" i="11"/>
  <c r="G44" i="11"/>
  <c r="C44" i="11"/>
  <c r="E43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5" i="11"/>
  <c r="E14" i="11"/>
  <c r="D11" i="11"/>
  <c r="G10" i="11"/>
  <c r="G11" i="11" s="1"/>
  <c r="E9" i="11"/>
  <c r="E8" i="11"/>
  <c r="G37" i="8"/>
  <c r="F12" i="8"/>
  <c r="H8" i="12" l="1"/>
  <c r="E10" i="11"/>
  <c r="E11" i="11" s="1"/>
  <c r="C44" i="12"/>
  <c r="C49" i="12" s="1"/>
  <c r="H42" i="12"/>
  <c r="G44" i="12"/>
  <c r="G49" i="12" s="1"/>
  <c r="G46" i="11"/>
  <c r="G51" i="11" s="1"/>
  <c r="D46" i="11"/>
  <c r="D51" i="11" s="1"/>
  <c r="E44" i="11"/>
  <c r="C46" i="11"/>
  <c r="C51" i="11" s="1"/>
  <c r="E46" i="11" l="1"/>
  <c r="E51" i="11" s="1"/>
  <c r="D13" i="7" l="1"/>
  <c r="D14" i="2" l="1"/>
  <c r="E13" i="2" l="1"/>
  <c r="B42" i="3" l="1"/>
  <c r="D38" i="3"/>
  <c r="G28" i="2"/>
  <c r="F8" i="2" l="1"/>
  <c r="F9" i="2"/>
  <c r="F10" i="2"/>
  <c r="F13" i="2"/>
  <c r="F7" i="2"/>
  <c r="F14" i="2" l="1"/>
  <c r="L8" i="3" l="1"/>
  <c r="I38" i="3" l="1"/>
  <c r="K38" i="3"/>
  <c r="K42" i="3" s="1"/>
  <c r="F38" i="3"/>
  <c r="F42" i="3" s="1"/>
  <c r="G38" i="3"/>
  <c r="G42" i="3" l="1"/>
  <c r="G40" i="8"/>
  <c r="G39" i="8"/>
  <c r="G38" i="8"/>
  <c r="G36" i="8"/>
  <c r="G35" i="8"/>
  <c r="G34" i="8"/>
  <c r="G33" i="8"/>
  <c r="G32" i="8"/>
  <c r="G31" i="8"/>
  <c r="G30" i="8"/>
  <c r="G29" i="8"/>
  <c r="G28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6" i="8"/>
  <c r="G42" i="8" l="1"/>
  <c r="H42" i="3"/>
  <c r="D42" i="3" l="1"/>
  <c r="C42" i="3"/>
  <c r="F20" i="1" l="1"/>
  <c r="F14" i="1" l="1"/>
  <c r="H14" i="2"/>
  <c r="D14" i="1" l="1"/>
  <c r="F32" i="2" l="1"/>
  <c r="D20" i="1"/>
  <c r="H25" i="2" l="1"/>
  <c r="H21" i="2"/>
  <c r="H26" i="2" l="1"/>
  <c r="H28" i="2" l="1"/>
  <c r="F24" i="2"/>
  <c r="F19" i="2"/>
  <c r="F18" i="2"/>
  <c r="F20" i="2"/>
  <c r="D25" i="2" l="1"/>
  <c r="F25" i="2" s="1"/>
  <c r="D21" i="2"/>
  <c r="F21" i="2" l="1"/>
  <c r="F26" i="2" s="1"/>
  <c r="D26" i="2"/>
  <c r="E38" i="3"/>
  <c r="E42" i="3" s="1"/>
  <c r="I42" i="3" s="1"/>
  <c r="L42" i="3" s="1"/>
  <c r="D28" i="2" l="1"/>
  <c r="F28" i="2"/>
  <c r="H38" i="3"/>
  <c r="F27" i="1"/>
  <c r="F30" i="1" l="1"/>
  <c r="F32" i="1" s="1"/>
  <c r="L38" i="3"/>
  <c r="B44" i="3"/>
  <c r="F44" i="3" l="1"/>
  <c r="D44" i="3"/>
  <c r="C44" i="3"/>
  <c r="G44" i="3"/>
  <c r="H44" i="3" l="1"/>
  <c r="E28" i="2"/>
  <c r="I44" i="3" l="1"/>
  <c r="D27" i="1" l="1"/>
  <c r="D30" i="1" s="1"/>
  <c r="D32" i="1" l="1"/>
  <c r="D9" i="12"/>
  <c r="D44" i="12" s="1"/>
  <c r="D49" i="12" s="1"/>
  <c r="E7" i="12"/>
  <c r="H7" i="12" s="1"/>
  <c r="H9" i="12" s="1"/>
  <c r="H44" i="12" l="1"/>
  <c r="H49" i="12" s="1"/>
  <c r="E9" i="12"/>
  <c r="E44" i="12" s="1"/>
  <c r="E49" i="12" s="1"/>
</calcChain>
</file>

<file path=xl/sharedStrings.xml><?xml version="1.0" encoding="utf-8"?>
<sst xmlns="http://schemas.openxmlformats.org/spreadsheetml/2006/main" count="287" uniqueCount="204">
  <si>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</si>
  <si>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</si>
  <si>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</si>
  <si>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</si>
  <si>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</si>
  <si>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</si>
  <si>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</si>
  <si>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</si>
  <si>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</si>
  <si>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</si>
  <si>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</si>
  <si>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</si>
  <si>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</si>
  <si>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</si>
  <si>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</si>
  <si>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</si>
  <si>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</si>
  <si>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</si>
  <si>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>ENDING FUND BALANCE</t>
  </si>
  <si>
    <t>NET SURPLUS/(DEFICIT)</t>
  </si>
  <si>
    <t>BEGINNING FUND BALANCE</t>
  </si>
  <si>
    <t>Total Expenses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</si>
  <si>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</si>
  <si>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</si>
  <si>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</si>
  <si>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</si>
  <si>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</si>
  <si>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</si>
  <si>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</si>
  <si>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</si>
  <si>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</si>
  <si>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</si>
  <si>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</si>
  <si>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</si>
  <si>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</si>
  <si>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</si>
  <si>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</si>
  <si>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</si>
  <si>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</si>
  <si>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</si>
  <si>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</si>
  <si>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</si>
  <si>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</si>
  <si>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</si>
  <si>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</si>
  <si>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</si>
  <si>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</si>
  <si>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</si>
  <si>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</si>
  <si>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</si>
  <si>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</si>
  <si>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</si>
  <si>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</si>
  <si>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</si>
  <si>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</si>
  <si>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</si>
  <si>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</si>
  <si>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</si>
  <si>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</si>
  <si>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</si>
  <si>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</si>
  <si>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</si>
  <si>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 Supporting Services</t>
  </si>
  <si>
    <t>Fundraising</t>
  </si>
  <si>
    <t>Administration</t>
  </si>
  <si>
    <t>Total Program Services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</si>
  <si>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</si>
  <si>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</si>
  <si>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</si>
  <si>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</si>
  <si>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</si>
  <si>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</si>
  <si>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</si>
  <si>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</si>
  <si>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</si>
  <si>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</si>
  <si>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</si>
  <si>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</si>
  <si>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</si>
  <si>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</si>
  <si>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</si>
  <si>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</si>
  <si>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</si>
  <si>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</si>
  <si>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</si>
  <si>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</si>
  <si>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</si>
  <si>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</si>
  <si>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</si>
  <si>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</si>
  <si>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</si>
  <si>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</si>
  <si>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</si>
  <si>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</si>
  <si>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</si>
  <si>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</si>
  <si>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</si>
  <si>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</si>
  <si>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</si>
  <si>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</si>
  <si>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</si>
  <si>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Future Ready Collier  </t>
  </si>
  <si>
    <t xml:space="preserve">Disaster Relief  </t>
  </si>
  <si>
    <t>Student and Families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</si>
  <si>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</si>
  <si>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</si>
  <si>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</si>
  <si>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</si>
  <si>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</si>
  <si>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</si>
  <si>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</si>
  <si>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</si>
  <si>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</si>
  <si>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</si>
  <si>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</si>
  <si>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</si>
  <si>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</si>
  <si>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</si>
  <si>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General Student Programs</t>
  </si>
  <si>
    <t xml:space="preserve">     Awards and Recognition to Individuals</t>
  </si>
  <si>
    <t>Take Stock in Children Program</t>
  </si>
  <si>
    <t>General Educator Programs</t>
  </si>
  <si>
    <t xml:space="preserve">Staff positions not hired. </t>
  </si>
  <si>
    <t xml:space="preserve">     Auction Expense</t>
  </si>
  <si>
    <t xml:space="preserve">     Personnel Expenses (including Accrued Vacation)</t>
  </si>
  <si>
    <t>Sue Filip Fund</t>
  </si>
  <si>
    <t>OPERATING NET SURPLUS/(DEFICIT)</t>
  </si>
  <si>
    <t xml:space="preserve">     State Registration and Licensing Fees</t>
  </si>
  <si>
    <t>Variance</t>
  </si>
  <si>
    <t xml:space="preserve">               Cash and Cash Equivalents (Everbank)</t>
  </si>
  <si>
    <t xml:space="preserve">               Cash and Cash Equivalents (Schwab)</t>
  </si>
  <si>
    <t xml:space="preserve">               Accounts Payable</t>
  </si>
  <si>
    <t xml:space="preserve">     Corporate/Organizational Revenue</t>
  </si>
  <si>
    <t xml:space="preserve">               Accrued Payroll &amp; Vacation</t>
  </si>
  <si>
    <t xml:space="preserve">    Less: Special Event Expenses</t>
  </si>
  <si>
    <t>Total Expenses By Function</t>
  </si>
  <si>
    <t>Interfund Transfer</t>
  </si>
  <si>
    <t xml:space="preserve">Farley Student Scholarship  </t>
  </si>
  <si>
    <t>Community Outreach</t>
  </si>
  <si>
    <t>Beginning Balance  07/01/2025</t>
  </si>
  <si>
    <t xml:space="preserve">     Awards and Recognition</t>
  </si>
  <si>
    <t>Educator/Giving Pathways/CFO</t>
  </si>
  <si>
    <t xml:space="preserve">          Program Service Revenue</t>
  </si>
  <si>
    <t xml:space="preserve">               Benefical Interest in Investments (held at CCF)</t>
  </si>
  <si>
    <t>OPERATING INCOME (NET)</t>
  </si>
  <si>
    <t xml:space="preserve"> Teacher Grants  </t>
  </si>
  <si>
    <t>FY25 Schoen $2.5M</t>
  </si>
  <si>
    <t>Increase in FY 26</t>
  </si>
  <si>
    <t>FY25 Daveler $50k &amp; Moorings $10k</t>
  </si>
  <si>
    <t>FY 2026 Projections</t>
  </si>
  <si>
    <t>FY 26 Total Budget</t>
  </si>
  <si>
    <t>CFEF-$15k Resiliency/Suncoast &amp; Press Club scholarship grant $$ not in budget</t>
  </si>
  <si>
    <t>Awarded TOD double the amount budgeted</t>
  </si>
  <si>
    <t>FY25 Daveler $50k &amp; Moorings $10k, Trinity $10k</t>
  </si>
  <si>
    <t>CFEF/Suncoast scholarship grant $$ not in budget</t>
  </si>
  <si>
    <t>FY 26 Totals</t>
  </si>
  <si>
    <t>CFEF $15k resiliency</t>
  </si>
  <si>
    <t>FY25 Disaster Relief $40k</t>
  </si>
  <si>
    <t>FY26 Double Awarded</t>
  </si>
  <si>
    <t>computers purchased FY25</t>
  </si>
  <si>
    <t>timing both years</t>
  </si>
  <si>
    <t>FY 2025 Totals</t>
  </si>
  <si>
    <t xml:space="preserve">Endowment fund, beginning balance </t>
  </si>
  <si>
    <t>Windstar Gives Back</t>
  </si>
  <si>
    <t xml:space="preserve">Net </t>
  </si>
  <si>
    <t xml:space="preserve">Year End Projection </t>
  </si>
  <si>
    <t>YE Projection Variance</t>
  </si>
  <si>
    <t>Endowment Fund (Held at CCF)</t>
  </si>
  <si>
    <t xml:space="preserve">Finance Committee Report </t>
  </si>
  <si>
    <t>Staff positions not hired</t>
  </si>
  <si>
    <t xml:space="preserve">* Individual Contributions / Family Foundations budget revenue for the remaining months of the curent fiscal year has been adjust to align with anticiapte year end revenue. </t>
  </si>
  <si>
    <t>Other Revenue/(Expense)</t>
  </si>
  <si>
    <t>31-Jan-2026</t>
  </si>
  <si>
    <t xml:space="preserve">     Conferences, Conventions and Meetings </t>
  </si>
  <si>
    <t xml:space="preserve">     Marketing and Direct Donor Expnese</t>
  </si>
  <si>
    <t xml:space="preserve">               Investment in Property and Equipment </t>
  </si>
  <si>
    <t xml:space="preserve">move to CCF </t>
  </si>
  <si>
    <t>Total Supporting Serivces</t>
  </si>
  <si>
    <t xml:space="preserve">Carlin Student Scholarship  </t>
  </si>
  <si>
    <t>Giving Pathways/CFO</t>
  </si>
  <si>
    <t>Consortium of FL Education Resillency C3</t>
  </si>
  <si>
    <t xml:space="preserve">Program Percentage of Expenses Current Year </t>
  </si>
  <si>
    <t xml:space="preserve">Program Percentage of Expenses Previous Year </t>
  </si>
  <si>
    <t>Positions not filled</t>
  </si>
  <si>
    <t>March 31, 2026</t>
  </si>
  <si>
    <t>03/31/26</t>
  </si>
  <si>
    <t>03/31/25</t>
  </si>
  <si>
    <t xml:space="preserve">               Pledges Receivable</t>
  </si>
  <si>
    <t>For the Period July 1, 2025 - March 31, 2026</t>
  </si>
  <si>
    <t>Change in Value of Endowment</t>
  </si>
  <si>
    <t xml:space="preserve">          In Kind Donations</t>
  </si>
  <si>
    <t>For the Period July 1 - March 31, 2026</t>
  </si>
  <si>
    <t>July - March 2026 Actual</t>
  </si>
  <si>
    <t>July - March  2026 Budget</t>
  </si>
  <si>
    <t xml:space="preserve">April - June 2026 Budget </t>
  </si>
  <si>
    <t>includes Hewson and Marcek</t>
  </si>
  <si>
    <t>July 2025 - March 2026</t>
  </si>
  <si>
    <t>07/01/26 - 03/31/26</t>
  </si>
  <si>
    <t>Donor Redemption Value - Adjust at 6/30</t>
  </si>
  <si>
    <t xml:space="preserve">Martcheck &amp; Hewson gift </t>
  </si>
  <si>
    <t>Future Ready Collier was 2%</t>
  </si>
  <si>
    <t>Ending Balance 03/31/2026</t>
  </si>
  <si>
    <t>July - March 2026 Total</t>
  </si>
  <si>
    <t>Prior Year -July - March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</si>
</sst>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  <numFmt numFmtId="166" formatCode="_(&quot;$&quot;* #,##0_);_(&quot;$&quot;* \(#,##0\);_(&quot;$&quot;* &quot;-&quot;??_);_(@_)"/>
    <numFmt numFmtId="167" formatCode="[$-409]mmmm\ d\,\ yyyy;@"/>
  </numFmts>
  <fonts count="3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  <font>
      <b/>
      <i/>
      <sz val="11"/>
      <color rgb="FFFF0000"/>
      <name val="Century Gothic"/>
      <family val="2"/>
    </font>
    <font>
      <sz val="9"/>
      <name val="Century Gothic"/>
      <family val="2"/>
    </font>
    <font>
      <b/>
      <i/>
      <sz val="11"/>
      <name val="Century Gothic"/>
      <family val="2"/>
    </font>
    <font>
      <i/>
      <sz val="11"/>
      <name val="Century Gothic"/>
      <family val="2"/>
    </font>
    <font>
      <b/>
      <sz val="12"/>
      <name val="Century Gothic"/>
      <family val="2"/>
    </font>
    <font>
      <b/>
      <sz val="11"/>
      <color theme="1"/>
      <name val="Century Gothic"/>
      <family val="2"/>
    </font>
    <font>
      <sz val="26"/>
      <color rgb="FF000000"/>
      <name val="Arial"/>
      <family val="2"/>
    </font>
    <font>
      <sz val="10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8" fillId="0" borderId="0" xfId="6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164" fontId="11" fillId="0" borderId="0" xfId="1" applyNumberFormat="1" applyFont="1"/>
    <xf numFmtId="0" fontId="20" fillId="0" borderId="0" xfId="0" applyFont="1" applyAlignment="1">
      <alignment vertical="top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0" fontId="12" fillId="0" borderId="4" xfId="3" applyFont="1" applyBorder="1" applyAlignment="1">
      <alignment horizontal="center" wrapText="1"/>
    </xf>
    <xf numFmtId="164" fontId="10" fillId="0" borderId="0" xfId="1" applyNumberFormat="1" applyFont="1" applyFill="1" applyAlignment="1">
      <alignment horizontal="right" vertical="top"/>
    </xf>
    <xf numFmtId="165" fontId="6" fillId="0" borderId="0" xfId="0" applyNumberFormat="1" applyFont="1"/>
    <xf numFmtId="164" fontId="24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37" fontId="9" fillId="0" borderId="0" xfId="11" applyNumberFormat="1" applyFont="1" applyAlignment="1">
      <alignment horizontal="right"/>
    </xf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165" fontId="9" fillId="0" borderId="0" xfId="0" applyNumberFormat="1" applyFont="1"/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5" fillId="0" borderId="0" xfId="12" applyNumberFormat="1" applyFont="1" applyAlignment="1">
      <alignment vertical="top"/>
    </xf>
    <xf numFmtId="0" fontId="6" fillId="0" borderId="0" xfId="12" applyFont="1"/>
    <xf numFmtId="0" fontId="22" fillId="0" borderId="0" xfId="12" applyFont="1"/>
    <xf numFmtId="43" fontId="6" fillId="0" borderId="0" xfId="13" applyFont="1"/>
    <xf numFmtId="49" fontId="5" fillId="0" borderId="1" xfId="12" applyNumberFormat="1" applyFont="1" applyBorder="1" applyAlignment="1">
      <alignment horizontal="center" wrapText="1"/>
    </xf>
    <xf numFmtId="49" fontId="5" fillId="0" borderId="1" xfId="12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164" fontId="6" fillId="0" borderId="0" xfId="12" applyNumberFormat="1" applyFont="1"/>
    <xf numFmtId="0" fontId="12" fillId="0" borderId="0" xfId="12" applyFont="1"/>
    <xf numFmtId="0" fontId="23" fillId="0" borderId="0" xfId="12" applyFont="1"/>
    <xf numFmtId="43" fontId="12" fillId="0" borderId="0" xfId="13" applyFont="1"/>
    <xf numFmtId="164" fontId="22" fillId="0" borderId="0" xfId="1" applyNumberFormat="1" applyFont="1"/>
    <xf numFmtId="43" fontId="12" fillId="0" borderId="0" xfId="1" applyFont="1"/>
    <xf numFmtId="41" fontId="9" fillId="0" borderId="0" xfId="11" applyNumberFormat="1" applyFont="1"/>
    <xf numFmtId="49" fontId="5" fillId="0" borderId="4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14" fillId="0" borderId="0" xfId="1" applyFont="1"/>
    <xf numFmtId="43" fontId="16" fillId="0" borderId="0" xfId="1" applyFont="1"/>
    <xf numFmtId="43" fontId="19" fillId="0" borderId="0" xfId="1" applyFont="1"/>
    <xf numFmtId="0" fontId="4" fillId="0" borderId="0" xfId="0" applyFont="1"/>
    <xf numFmtId="164" fontId="10" fillId="0" borderId="7" xfId="1" applyNumberFormat="1" applyFont="1" applyBorder="1" applyAlignment="1">
      <alignment horizontal="right" vertical="top"/>
    </xf>
    <xf numFmtId="164" fontId="10" fillId="0" borderId="8" xfId="1" applyNumberFormat="1" applyFont="1" applyBorder="1" applyAlignment="1">
      <alignment horizontal="right" vertical="top"/>
    </xf>
    <xf numFmtId="0" fontId="27" fillId="0" borderId="0" xfId="3" applyFont="1"/>
    <xf numFmtId="164" fontId="8" fillId="0" borderId="0" xfId="1" applyNumberFormat="1" applyFont="1" applyFill="1" applyAlignment="1">
      <alignment horizontal="right" vertical="top"/>
    </xf>
    <xf numFmtId="0" fontId="29" fillId="0" borderId="0" xfId="3" applyFont="1"/>
    <xf numFmtId="164" fontId="27" fillId="0" borderId="0" xfId="3" applyNumberFormat="1" applyFont="1"/>
    <xf numFmtId="164" fontId="10" fillId="0" borderId="3" xfId="1" applyNumberFormat="1" applyFont="1" applyFill="1" applyBorder="1" applyAlignment="1">
      <alignment horizontal="right" vertical="top"/>
    </xf>
    <xf numFmtId="38" fontId="10" fillId="0" borderId="0" xfId="1" applyNumberFormat="1" applyFont="1" applyAlignment="1">
      <alignment horizontal="right" vertical="top"/>
    </xf>
    <xf numFmtId="38" fontId="9" fillId="0" borderId="0" xfId="1" applyNumberFormat="1" applyFont="1"/>
    <xf numFmtId="38" fontId="6" fillId="0" borderId="0" xfId="1" applyNumberFormat="1" applyFont="1"/>
    <xf numFmtId="38" fontId="10" fillId="0" borderId="0" xfId="1" applyNumberFormat="1" applyFont="1" applyFill="1" applyAlignment="1">
      <alignment horizontal="right" vertical="top"/>
    </xf>
    <xf numFmtId="38" fontId="10" fillId="0" borderId="0" xfId="1" applyNumberFormat="1" applyFont="1" applyBorder="1" applyAlignment="1">
      <alignment horizontal="right" vertical="top"/>
    </xf>
    <xf numFmtId="38" fontId="8" fillId="0" borderId="7" xfId="1" applyNumberFormat="1" applyFont="1" applyBorder="1" applyAlignment="1">
      <alignment horizontal="right" vertical="top"/>
    </xf>
    <xf numFmtId="166" fontId="17" fillId="0" borderId="0" xfId="11" applyNumberFormat="1" applyFont="1"/>
    <xf numFmtId="43" fontId="6" fillId="0" borderId="0" xfId="1" applyFont="1" applyFill="1"/>
    <xf numFmtId="37" fontId="10" fillId="0" borderId="4" xfId="0" applyNumberFormat="1" applyFont="1" applyBorder="1" applyAlignment="1">
      <alignment horizontal="right" vertical="top"/>
    </xf>
    <xf numFmtId="164" fontId="10" fillId="0" borderId="4" xfId="1" applyNumberFormat="1" applyFont="1" applyFill="1" applyBorder="1" applyAlignment="1">
      <alignment horizontal="right" vertical="top"/>
    </xf>
    <xf numFmtId="37" fontId="10" fillId="0" borderId="0" xfId="0" applyNumberFormat="1" applyFont="1" applyAlignment="1">
      <alignment horizontal="right" vertical="top"/>
    </xf>
    <xf numFmtId="164" fontId="9" fillId="0" borderId="4" xfId="1" applyNumberFormat="1" applyFont="1" applyFill="1" applyBorder="1"/>
    <xf numFmtId="167" fontId="16" fillId="0" borderId="0" xfId="6" applyNumberFormat="1" applyFont="1"/>
    <xf numFmtId="167" fontId="19" fillId="0" borderId="0" xfId="6" applyNumberFormat="1" applyFont="1"/>
    <xf numFmtId="167" fontId="16" fillId="0" borderId="0" xfId="1" applyNumberFormat="1" applyFont="1"/>
    <xf numFmtId="167" fontId="10" fillId="0" borderId="0" xfId="1" applyNumberFormat="1" applyFont="1" applyAlignment="1">
      <alignment horizontal="right" vertical="top"/>
    </xf>
    <xf numFmtId="167" fontId="6" fillId="0" borderId="0" xfId="0" applyNumberFormat="1" applyFont="1"/>
    <xf numFmtId="167" fontId="5" fillId="0" borderId="0" xfId="12" applyNumberFormat="1" applyFont="1" applyAlignment="1">
      <alignment vertical="top"/>
    </xf>
    <xf numFmtId="167" fontId="7" fillId="0" borderId="0" xfId="12" applyNumberFormat="1" applyFont="1" applyAlignment="1">
      <alignment vertical="top"/>
    </xf>
    <xf numFmtId="167" fontId="22" fillId="0" borderId="0" xfId="12" applyNumberFormat="1" applyFont="1"/>
    <xf numFmtId="167" fontId="6" fillId="0" borderId="0" xfId="13" applyNumberFormat="1" applyFont="1"/>
    <xf numFmtId="167" fontId="6" fillId="0" borderId="0" xfId="12" applyNumberFormat="1" applyFont="1"/>
    <xf numFmtId="167" fontId="12" fillId="0" borderId="0" xfId="3" applyNumberFormat="1" applyFont="1"/>
    <xf numFmtId="167" fontId="28" fillId="0" borderId="0" xfId="3" applyNumberFormat="1" applyFont="1"/>
    <xf numFmtId="167" fontId="9" fillId="0" borderId="0" xfId="1" applyNumberFormat="1" applyFont="1"/>
    <xf numFmtId="167" fontId="9" fillId="0" borderId="0" xfId="1" applyNumberFormat="1" applyFont="1" applyBorder="1"/>
    <xf numFmtId="167" fontId="13" fillId="0" borderId="0" xfId="0" applyNumberFormat="1" applyFont="1"/>
    <xf numFmtId="167" fontId="22" fillId="0" borderId="0" xfId="1" applyNumberFormat="1" applyFont="1"/>
    <xf numFmtId="166" fontId="11" fillId="0" borderId="0" xfId="11" applyNumberFormat="1" applyFont="1"/>
    <xf numFmtId="0" fontId="5" fillId="0" borderId="0" xfId="0" applyFont="1" applyAlignment="1">
      <alignment vertical="top"/>
    </xf>
    <xf numFmtId="164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wrapText="1"/>
    </xf>
    <xf numFmtId="167" fontId="37" fillId="0" borderId="0" xfId="0" applyNumberFormat="1" applyFont="1"/>
    <xf numFmtId="0" fontId="7" fillId="0" borderId="0" xfId="0" applyFont="1"/>
    <xf numFmtId="0" fontId="36" fillId="0" borderId="0" xfId="0" applyFont="1"/>
    <xf numFmtId="164" fontId="36" fillId="0" borderId="0" xfId="0" applyNumberFormat="1" applyFont="1"/>
    <xf numFmtId="167" fontId="7" fillId="0" borderId="0" xfId="0" applyNumberFormat="1" applyFont="1"/>
    <xf numFmtId="43" fontId="11" fillId="0" borderId="0" xfId="1" applyFont="1"/>
    <xf numFmtId="41" fontId="9" fillId="0" borderId="0" xfId="11" applyNumberFormat="1" applyFont="1" applyFill="1"/>
    <xf numFmtId="164" fontId="22" fillId="0" borderId="0" xfId="1" applyNumberFormat="1" applyFont="1" applyFill="1"/>
    <xf numFmtId="164" fontId="10" fillId="0" borderId="0" xfId="1" applyNumberFormat="1" applyFont="1" applyFill="1" applyBorder="1" applyAlignment="1">
      <alignment horizontal="right" vertical="top"/>
    </xf>
    <xf numFmtId="0" fontId="22" fillId="3" borderId="0" xfId="12" applyFont="1" applyFill="1" applyAlignment="1">
      <alignment wrapText="1"/>
    </xf>
    <xf numFmtId="0" fontId="6" fillId="0" borderId="0" xfId="3" applyFont="1" applyAlignment="1">
      <alignment horizontal="left" indent="1"/>
    </xf>
    <xf numFmtId="43" fontId="10" fillId="0" borderId="0" xfId="1" applyFont="1" applyAlignment="1">
      <alignment horizontal="right" vertical="top"/>
    </xf>
    <xf numFmtId="164" fontId="10" fillId="0" borderId="7" xfId="1" applyNumberFormat="1" applyFont="1" applyFill="1" applyBorder="1" applyAlignment="1">
      <alignment horizontal="right" vertical="top"/>
    </xf>
    <xf numFmtId="164" fontId="8" fillId="0" borderId="0" xfId="1" applyNumberFormat="1" applyFont="1" applyFill="1" applyBorder="1" applyAlignment="1">
      <alignment horizontal="right" vertical="top"/>
    </xf>
    <xf numFmtId="164" fontId="10" fillId="0" borderId="8" xfId="1" applyNumberFormat="1" applyFont="1" applyFill="1" applyBorder="1" applyAlignment="1">
      <alignment horizontal="right" vertical="top"/>
    </xf>
    <xf numFmtId="164" fontId="11" fillId="0" borderId="4" xfId="3" applyNumberFormat="1" applyFont="1" applyBorder="1"/>
    <xf numFmtId="0" fontId="12" fillId="0" borderId="4" xfId="3" applyFont="1" applyBorder="1"/>
    <xf numFmtId="164" fontId="11" fillId="0" borderId="4" xfId="1" applyNumberFormat="1" applyFont="1" applyFill="1" applyBorder="1"/>
    <xf numFmtId="0" fontId="31" fillId="0" borderId="0" xfId="3" applyFont="1"/>
    <xf numFmtId="0" fontId="30" fillId="0" borderId="0" xfId="3" applyFont="1"/>
    <xf numFmtId="0" fontId="32" fillId="0" borderId="0" xfId="3" applyFont="1"/>
    <xf numFmtId="43" fontId="7" fillId="0" borderId="0" xfId="13" applyFont="1"/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center"/>
    </xf>
    <xf numFmtId="167" fontId="35" fillId="0" borderId="0" xfId="0" applyNumberFormat="1" applyFont="1" applyAlignment="1">
      <alignment horizontal="center"/>
    </xf>
    <xf numFmtId="49" fontId="5" fillId="0" borderId="0" xfId="3" applyNumberFormat="1" applyFont="1" applyAlignment="1">
      <alignment vertical="top"/>
    </xf>
    <xf numFmtId="49" fontId="7" fillId="0" borderId="0" xfId="3" applyNumberFormat="1" applyFont="1" applyAlignment="1">
      <alignment vertical="top"/>
    </xf>
    <xf numFmtId="49" fontId="7" fillId="0" borderId="0" xfId="3" applyNumberFormat="1" applyFont="1" applyAlignment="1">
      <alignment horizontal="left" vertical="top" indent="1"/>
    </xf>
    <xf numFmtId="0" fontId="20" fillId="0" borderId="0" xfId="3" applyFont="1" applyAlignment="1">
      <alignment vertical="top"/>
    </xf>
    <xf numFmtId="0" fontId="5" fillId="0" borderId="0" xfId="3" applyFont="1"/>
    <xf numFmtId="49" fontId="5" fillId="0" borderId="1" xfId="3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49" fontId="5" fillId="0" borderId="0" xfId="12" applyNumberFormat="1" applyFont="1" applyAlignment="1">
      <alignment vertical="top"/>
    </xf>
    <xf numFmtId="14" fontId="5" fillId="0" borderId="0" xfId="12" applyNumberFormat="1" applyFont="1" applyAlignment="1">
      <alignment horizontal="left" vertical="top"/>
    </xf>
    <xf numFmtId="0" fontId="5" fillId="0" borderId="0" xfId="12" applyFont="1"/>
    <xf numFmtId="49" fontId="36" fillId="0" borderId="0" xfId="0" applyNumberFormat="1" applyFont="1" applyAlignment="1">
      <alignment horizontal="left" vertical="top" wrapText="1"/>
    </xf>
    <xf numFmtId="49" fontId="33" fillId="0" borderId="0" xfId="0" applyNumberFormat="1" applyFont="1" applyAlignment="1">
      <alignment vertical="top"/>
    </xf>
    <xf numFmtId="167" fontId="7" fillId="0" borderId="0" xfId="0" applyNumberFormat="1" applyFont="1" applyAlignment="1">
      <alignment vertical="top"/>
    </xf>
    <xf numFmtId="167" fontId="34" fillId="0" borderId="0" xfId="6" applyNumberFormat="1" applyFont="1" applyAlignment="1">
      <alignment horizontal="left"/>
    </xf>
    <xf numFmtId="164" fontId="8" fillId="0" borderId="7" xfId="1" applyNumberFormat="1" applyFont="1" applyBorder="1" applyAlignment="1">
      <alignment horizontal="right" vertical="top"/>
    </xf>
  </cellXfs>
  <cellStyles count="15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omma 3 2" xfId="13" xr:uid="{958AD8E2-CFDA-4488-98EF-574B7065434A}"/>
    <cellStyle name="Comma 4" xfId="14" xr:uid="{EF62BD33-FACC-4618-96E9-E83254F0363F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3 2" xfId="12" xr:uid="{73656519-9FAD-44D4-A411-301ACB0E628B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438149</xdr:colOff>
      <xdr:row>1</xdr:row>
      <xdr:rowOff>123825</xdr:rowOff>
    </xdr:from>
    <xdr:to>
      <xdr:col>7</xdr:col>
      <xdr:colOff>238124</xdr:colOff>
      <xdr:row>20</xdr:row>
      <xdr:rowOff>40973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B16427-56F0-058A-E82F-FFB781C6B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49" y="285750"/>
          <a:ext cx="2847975" cy="2993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6338-8096-43AE-809B-7716977D1F3A}">
  <sheetPr>
    <pageSetUpPr fitToPage="1"/>
  </sheetPr>
  <dimension ref="A24:J27"/>
  <sheetViews>
    <sheetView workbookViewId="0">
      <selection activeCell="A28" sqref="A28"/>
    </sheetView>
  </sheetViews>
  <sheetFormatPr defaultRowHeight="12.75" x14ac:dyDescent="0.2"/>
  <sheetData>
    <row r="24" spans="1:10" ht="33" x14ac:dyDescent="0.45">
      <c r="A24" s="164" t="s">
        <v>168</v>
      </c>
      <c r="B24" s="164"/>
      <c r="C24" s="164"/>
      <c r="D24" s="164"/>
      <c r="E24" s="164"/>
      <c r="F24" s="164"/>
      <c r="G24" s="164"/>
      <c r="H24" s="164"/>
      <c r="I24" s="164"/>
      <c r="J24" s="164"/>
    </row>
    <row r="27" spans="1:10" ht="33" x14ac:dyDescent="0.45">
      <c r="A27" s="165">
        <v>46112</v>
      </c>
      <c r="B27" s="165"/>
      <c r="C27" s="165"/>
      <c r="D27" s="165"/>
      <c r="E27" s="165"/>
      <c r="F27" s="165"/>
      <c r="G27" s="165"/>
      <c r="H27" s="165"/>
      <c r="I27" s="165"/>
      <c r="J27" s="165"/>
    </row>
  </sheetData>
  <mergeCells count="2">
    <mergeCell ref="A24:J24"/>
    <mergeCell ref="A27:J27"/>
  </mergeCells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opLeftCell="A6" zoomScale="120" zoomScaleNormal="120" workbookViewId="0">
      <selection activeCell="D29" sqref="D29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4.85546875" style="1" customWidth="1"/>
    <col min="5" max="5" width="3.140625" style="1" customWidth="1"/>
    <col min="6" max="6" width="13.28515625" style="1" customWidth="1"/>
    <col min="7" max="7" width="3.5703125" style="22" customWidth="1"/>
    <col min="8" max="8" width="13.140625" style="88" customWidth="1"/>
    <col min="9" max="9" width="12.42578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59" t="s">
        <v>0</v>
      </c>
      <c r="B1" s="159"/>
      <c r="C1" s="159"/>
      <c r="D1" s="159"/>
      <c r="E1" s="159"/>
      <c r="F1" s="159"/>
    </row>
    <row r="2" spans="1:12" ht="19.899999999999999" customHeight="1" x14ac:dyDescent="0.3">
      <c r="A2" s="159" t="s">
        <v>1</v>
      </c>
      <c r="B2" s="159"/>
      <c r="C2" s="159"/>
      <c r="D2" s="159"/>
      <c r="E2" s="159"/>
      <c r="F2" s="159"/>
    </row>
    <row r="3" spans="1:12" ht="16.899999999999999" customHeight="1" x14ac:dyDescent="0.3">
      <c r="A3" s="159" t="s">
        <v>184</v>
      </c>
      <c r="B3" s="159"/>
      <c r="C3" s="159"/>
      <c r="D3" s="159"/>
      <c r="E3" s="159"/>
      <c r="F3" s="159"/>
    </row>
    <row r="4" spans="1:12" ht="15.75" customHeight="1" x14ac:dyDescent="0.3">
      <c r="A4" s="160"/>
      <c r="B4" s="160"/>
      <c r="C4" s="160"/>
      <c r="D4" s="160"/>
      <c r="E4" s="160"/>
      <c r="F4" s="160"/>
    </row>
    <row r="5" spans="1:12" ht="15.75" customHeight="1" x14ac:dyDescent="0.3">
      <c r="A5" s="2"/>
      <c r="B5" s="161"/>
      <c r="C5" s="161"/>
      <c r="D5" s="12" t="s">
        <v>185</v>
      </c>
      <c r="E5" s="11"/>
      <c r="F5" s="12" t="s">
        <v>186</v>
      </c>
    </row>
    <row r="6" spans="1:12" ht="15.75" customHeight="1" x14ac:dyDescent="0.3">
      <c r="A6" s="162" t="s">
        <v>2</v>
      </c>
      <c r="B6" s="162"/>
      <c r="C6" s="162"/>
      <c r="D6" s="4"/>
      <c r="E6" s="4"/>
      <c r="F6" s="4"/>
    </row>
    <row r="7" spans="1:12" ht="15.75" customHeight="1" x14ac:dyDescent="0.3">
      <c r="A7" s="162" t="s">
        <v>129</v>
      </c>
      <c r="B7" s="162"/>
      <c r="C7" s="162"/>
      <c r="D7" s="63">
        <v>522734</v>
      </c>
      <c r="E7" s="9"/>
      <c r="F7" s="7">
        <v>470503</v>
      </c>
      <c r="I7" s="58"/>
      <c r="J7" s="43"/>
    </row>
    <row r="8" spans="1:12" ht="15.75" customHeight="1" x14ac:dyDescent="0.3">
      <c r="A8" s="162" t="s">
        <v>130</v>
      </c>
      <c r="B8" s="162"/>
      <c r="C8" s="162"/>
      <c r="D8" s="143">
        <v>2726360</v>
      </c>
      <c r="E8" s="67"/>
      <c r="F8" s="59">
        <f>1838700+439926+81144</f>
        <v>2359770</v>
      </c>
      <c r="H8" s="144"/>
      <c r="I8" s="58"/>
      <c r="J8" s="43"/>
    </row>
    <row r="9" spans="1:12" ht="15.75" customHeight="1" x14ac:dyDescent="0.3">
      <c r="A9" s="162" t="s">
        <v>187</v>
      </c>
      <c r="B9" s="162"/>
      <c r="C9" s="162"/>
      <c r="D9" s="90">
        <v>300000</v>
      </c>
      <c r="E9" s="67"/>
      <c r="F9" s="7">
        <v>0</v>
      </c>
      <c r="I9" s="58"/>
      <c r="J9" s="43"/>
    </row>
    <row r="10" spans="1:12" ht="15.75" customHeight="1" x14ac:dyDescent="0.3">
      <c r="A10" s="162" t="s">
        <v>3</v>
      </c>
      <c r="B10" s="162"/>
      <c r="C10" s="162"/>
      <c r="D10" s="5">
        <v>1519195</v>
      </c>
      <c r="E10" s="9"/>
      <c r="F10" s="7">
        <v>1728211</v>
      </c>
      <c r="I10" s="58"/>
      <c r="J10" s="54"/>
      <c r="K10" s="38"/>
      <c r="L10" s="38"/>
    </row>
    <row r="11" spans="1:12" ht="15.75" customHeight="1" x14ac:dyDescent="0.3">
      <c r="A11" s="162" t="s">
        <v>4</v>
      </c>
      <c r="B11" s="162"/>
      <c r="C11" s="162"/>
      <c r="D11" s="56">
        <v>15082</v>
      </c>
      <c r="E11" s="9"/>
      <c r="F11" s="7">
        <v>23527</v>
      </c>
      <c r="I11" s="58"/>
    </row>
    <row r="12" spans="1:12" ht="15.75" customHeight="1" x14ac:dyDescent="0.3">
      <c r="A12" s="162" t="s">
        <v>143</v>
      </c>
      <c r="B12" s="162"/>
      <c r="C12" s="162"/>
      <c r="D12" s="56">
        <v>5666624</v>
      </c>
      <c r="E12" s="9"/>
      <c r="F12" s="7">
        <v>3783704</v>
      </c>
      <c r="I12" s="58"/>
      <c r="J12" s="57"/>
    </row>
    <row r="13" spans="1:12" ht="15.75" customHeight="1" x14ac:dyDescent="0.3">
      <c r="A13" s="162" t="s">
        <v>5</v>
      </c>
      <c r="B13" s="162"/>
      <c r="C13" s="162"/>
      <c r="D13" s="5">
        <v>1722502</v>
      </c>
      <c r="E13" s="9"/>
      <c r="F13" s="7">
        <v>1820934</v>
      </c>
      <c r="I13" s="58"/>
      <c r="J13" s="38"/>
    </row>
    <row r="14" spans="1:12" ht="15.75" customHeight="1" thickBot="1" x14ac:dyDescent="0.35">
      <c r="A14" s="162" t="s">
        <v>6</v>
      </c>
      <c r="B14" s="162"/>
      <c r="C14" s="162"/>
      <c r="D14" s="6">
        <f>SUM(D7:D13)</f>
        <v>12472497</v>
      </c>
      <c r="E14" s="9"/>
      <c r="F14" s="6">
        <f>SUM(F7:F13)</f>
        <v>10186649</v>
      </c>
      <c r="I14" s="58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62" t="s">
        <v>7</v>
      </c>
      <c r="B16" s="162"/>
      <c r="C16" s="162"/>
      <c r="D16" s="7"/>
      <c r="E16" s="13"/>
      <c r="F16" s="7"/>
    </row>
    <row r="17" spans="1:10" ht="15.75" customHeight="1" x14ac:dyDescent="0.3">
      <c r="A17" s="162" t="s">
        <v>8</v>
      </c>
      <c r="B17" s="162"/>
      <c r="C17" s="162"/>
      <c r="D17" s="7"/>
      <c r="E17" s="13"/>
      <c r="F17" s="7"/>
    </row>
    <row r="18" spans="1:10" ht="15.75" customHeight="1" x14ac:dyDescent="0.3">
      <c r="A18" s="162" t="s">
        <v>131</v>
      </c>
      <c r="B18" s="162"/>
      <c r="C18" s="162"/>
      <c r="D18" s="60">
        <v>2105</v>
      </c>
      <c r="E18" s="9"/>
      <c r="F18" s="7">
        <v>14823</v>
      </c>
    </row>
    <row r="19" spans="1:10" ht="15.75" customHeight="1" x14ac:dyDescent="0.3">
      <c r="A19" s="163" t="s">
        <v>133</v>
      </c>
      <c r="B19" s="163"/>
      <c r="C19" s="163"/>
      <c r="D19" s="60">
        <v>105499</v>
      </c>
      <c r="E19" s="9"/>
      <c r="F19" s="7">
        <v>89582</v>
      </c>
    </row>
    <row r="20" spans="1:10" ht="15.75" customHeight="1" x14ac:dyDescent="0.3">
      <c r="A20" s="162" t="s">
        <v>9</v>
      </c>
      <c r="B20" s="162"/>
      <c r="C20" s="162"/>
      <c r="D20" s="8">
        <f>SUM(D18:D19)</f>
        <v>107604</v>
      </c>
      <c r="E20" s="9"/>
      <c r="F20" s="8">
        <f>SUM(F18:F19)</f>
        <v>104405</v>
      </c>
      <c r="G20" s="9"/>
    </row>
    <row r="21" spans="1:10" ht="15.75" customHeight="1" x14ac:dyDescent="0.3">
      <c r="D21" s="7"/>
      <c r="E21" s="13"/>
      <c r="F21" s="7"/>
      <c r="I21" s="38"/>
    </row>
    <row r="22" spans="1:10" ht="15.75" customHeight="1" x14ac:dyDescent="0.3">
      <c r="A22" s="162" t="s">
        <v>10</v>
      </c>
      <c r="B22" s="162"/>
      <c r="C22" s="162"/>
      <c r="D22" s="7"/>
      <c r="E22" s="13"/>
      <c r="F22" s="7"/>
    </row>
    <row r="23" spans="1:10" ht="15.75" customHeight="1" x14ac:dyDescent="0.3">
      <c r="A23" s="162" t="s">
        <v>11</v>
      </c>
      <c r="B23" s="162"/>
      <c r="C23" s="162"/>
      <c r="D23" s="7"/>
      <c r="E23" s="13"/>
      <c r="F23" s="7"/>
    </row>
    <row r="24" spans="1:10" ht="15.75" customHeight="1" x14ac:dyDescent="0.3">
      <c r="A24" s="162" t="s">
        <v>12</v>
      </c>
      <c r="B24" s="162"/>
      <c r="C24" s="162"/>
      <c r="D24" s="5">
        <f>5981352-D25</f>
        <v>4258850</v>
      </c>
      <c r="E24" s="9"/>
      <c r="F24" s="5">
        <f>4128280-F25</f>
        <v>2307346</v>
      </c>
      <c r="I24" s="38"/>
    </row>
    <row r="25" spans="1:10" ht="15.75" customHeight="1" x14ac:dyDescent="0.3">
      <c r="A25" s="3" t="s">
        <v>175</v>
      </c>
      <c r="B25" s="3"/>
      <c r="C25" s="3"/>
      <c r="D25" s="56">
        <f>D13</f>
        <v>1722502</v>
      </c>
      <c r="E25" s="145"/>
      <c r="F25" s="59">
        <f>F13</f>
        <v>1820934</v>
      </c>
      <c r="H25" s="144"/>
      <c r="I25" s="38"/>
    </row>
    <row r="26" spans="1:10" ht="15.75" customHeight="1" x14ac:dyDescent="0.3">
      <c r="A26" s="162" t="s">
        <v>13</v>
      </c>
      <c r="B26" s="162"/>
      <c r="C26" s="162"/>
      <c r="D26" s="5">
        <v>0</v>
      </c>
      <c r="E26" s="9"/>
      <c r="F26" s="7">
        <v>500000</v>
      </c>
    </row>
    <row r="27" spans="1:10" ht="15.75" customHeight="1" x14ac:dyDescent="0.3">
      <c r="A27" s="162" t="s">
        <v>14</v>
      </c>
      <c r="B27" s="162"/>
      <c r="C27" s="162"/>
      <c r="D27" s="8">
        <f>SUM(D24:D26)</f>
        <v>5981352</v>
      </c>
      <c r="E27" s="9"/>
      <c r="F27" s="8">
        <f t="shared" ref="F27" si="0">SUM(F24:F26)</f>
        <v>4628280</v>
      </c>
      <c r="I27" s="38"/>
    </row>
    <row r="28" spans="1:10" ht="15.75" customHeight="1" x14ac:dyDescent="0.3">
      <c r="A28" s="120"/>
      <c r="B28" s="120"/>
      <c r="C28" s="120"/>
      <c r="D28" s="128"/>
      <c r="E28" s="129"/>
      <c r="F28" s="128"/>
      <c r="G28" s="130"/>
      <c r="H28" s="131"/>
      <c r="I28" s="120"/>
      <c r="J28" s="120"/>
    </row>
    <row r="29" spans="1:10" ht="15.75" customHeight="1" x14ac:dyDescent="0.3">
      <c r="A29" s="162" t="s">
        <v>15</v>
      </c>
      <c r="B29" s="162"/>
      <c r="C29" s="162"/>
      <c r="D29" s="5">
        <v>6383541</v>
      </c>
      <c r="E29" s="9"/>
      <c r="F29" s="7">
        <v>5453964</v>
      </c>
      <c r="I29" s="38"/>
    </row>
    <row r="30" spans="1:10" ht="15.75" customHeight="1" x14ac:dyDescent="0.3">
      <c r="A30" s="162" t="s">
        <v>16</v>
      </c>
      <c r="B30" s="162"/>
      <c r="C30" s="162"/>
      <c r="D30" s="8">
        <f>D27+D29</f>
        <v>12364893</v>
      </c>
      <c r="E30" s="9"/>
      <c r="F30" s="8">
        <f>F27+F29</f>
        <v>10082244</v>
      </c>
      <c r="I30" s="38"/>
    </row>
    <row r="31" spans="1:10" ht="15.75" customHeight="1" x14ac:dyDescent="0.3">
      <c r="D31" s="7"/>
      <c r="E31" s="13"/>
      <c r="F31" s="7"/>
    </row>
    <row r="32" spans="1:10" ht="15.75" customHeight="1" thickBot="1" x14ac:dyDescent="0.35">
      <c r="A32" s="162" t="s">
        <v>17</v>
      </c>
      <c r="B32" s="162"/>
      <c r="C32" s="162"/>
      <c r="D32" s="6">
        <f>D20+D30</f>
        <v>12472497</v>
      </c>
      <c r="E32" s="9"/>
      <c r="F32" s="6">
        <f>F20+F30</f>
        <v>10186649</v>
      </c>
      <c r="I32" s="38"/>
    </row>
    <row r="33" spans="4:6" ht="15.75" customHeight="1" thickTop="1" x14ac:dyDescent="0.3"/>
    <row r="34" spans="4:6" ht="13.35" customHeight="1" x14ac:dyDescent="0.3">
      <c r="D34" s="38"/>
    </row>
    <row r="35" spans="4:6" ht="13.35" customHeight="1" x14ac:dyDescent="0.3">
      <c r="D35" s="38"/>
    </row>
    <row r="36" spans="4:6" ht="13.35" customHeight="1" x14ac:dyDescent="0.3"/>
    <row r="37" spans="4:6" ht="13.35" customHeight="1" x14ac:dyDescent="0.3">
      <c r="F37" s="38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26:C26"/>
    <mergeCell ref="A27:C27"/>
    <mergeCell ref="A29:C29"/>
    <mergeCell ref="A30:C30"/>
    <mergeCell ref="A32:C32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12:C12"/>
    <mergeCell ref="A6:C6"/>
    <mergeCell ref="A7:C7"/>
    <mergeCell ref="A10:C10"/>
    <mergeCell ref="A11:C11"/>
    <mergeCell ref="A8:C8"/>
    <mergeCell ref="A9:C9"/>
    <mergeCell ref="A1:F1"/>
    <mergeCell ref="A2:F2"/>
    <mergeCell ref="A3:F3"/>
    <mergeCell ref="A4:F4"/>
    <mergeCell ref="B5:C5"/>
  </mergeCells>
  <pageMargins left="0.25" right="0.25" top="0.25" bottom="0.2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sheetPr>
    <pageSetUpPr fitToPage="1"/>
  </sheetPr>
  <dimension ref="A1:Q47"/>
  <sheetViews>
    <sheetView zoomScale="90" zoomScaleNormal="90" workbookViewId="0">
      <selection activeCell="J5" sqref="J5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1.1406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3" customWidth="1"/>
    <col min="8" max="8" width="24.42578125" style="18" customWidth="1"/>
    <col min="9" max="9" width="35.140625" style="99" customWidth="1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54" bestFit="1" customWidth="1"/>
    <col min="18" max="16384" width="9.140625" style="18"/>
  </cols>
  <sheetData>
    <row r="1" spans="1:13" ht="19.899999999999999" customHeight="1" x14ac:dyDescent="0.3">
      <c r="A1" s="166" t="s">
        <v>0</v>
      </c>
      <c r="B1" s="166"/>
      <c r="C1" s="166"/>
      <c r="D1" s="166"/>
      <c r="E1" s="166"/>
      <c r="F1" s="35"/>
    </row>
    <row r="2" spans="1:13" ht="19.899999999999999" customHeight="1" x14ac:dyDescent="0.3">
      <c r="A2" s="166" t="s">
        <v>38</v>
      </c>
      <c r="B2" s="166"/>
      <c r="C2" s="166"/>
      <c r="D2" s="166"/>
      <c r="E2" s="166"/>
      <c r="F2" s="35"/>
    </row>
    <row r="3" spans="1:13" ht="16.899999999999999" customHeight="1" x14ac:dyDescent="0.3">
      <c r="A3" s="166" t="s">
        <v>188</v>
      </c>
      <c r="B3" s="166"/>
      <c r="C3" s="166"/>
      <c r="D3" s="166"/>
      <c r="E3" s="166"/>
      <c r="F3" s="35"/>
    </row>
    <row r="4" spans="1:13" ht="15.75" customHeight="1" x14ac:dyDescent="0.3">
      <c r="A4" s="169"/>
      <c r="B4" s="169"/>
      <c r="C4" s="169"/>
      <c r="D4" s="169"/>
      <c r="E4" s="169"/>
      <c r="F4" s="36"/>
    </row>
    <row r="5" spans="1:13" ht="60.75" customHeight="1" x14ac:dyDescent="0.3">
      <c r="A5" s="19"/>
      <c r="B5" s="170"/>
      <c r="C5" s="170"/>
      <c r="D5" s="20" t="s">
        <v>112</v>
      </c>
      <c r="E5" s="20" t="s">
        <v>39</v>
      </c>
      <c r="F5" s="48" t="s">
        <v>202</v>
      </c>
      <c r="H5" s="55" t="s">
        <v>203</v>
      </c>
    </row>
    <row r="6" spans="1:13" ht="15.75" customHeight="1" x14ac:dyDescent="0.3">
      <c r="A6" s="167" t="s">
        <v>37</v>
      </c>
      <c r="B6" s="167"/>
      <c r="C6" s="167"/>
      <c r="D6" s="14"/>
      <c r="E6" s="14"/>
      <c r="F6" s="14"/>
    </row>
    <row r="7" spans="1:13" ht="15.75" customHeight="1" x14ac:dyDescent="0.3">
      <c r="A7" s="167" t="s">
        <v>36</v>
      </c>
      <c r="B7" s="167"/>
      <c r="C7" s="167"/>
      <c r="D7" s="5">
        <v>110075</v>
      </c>
      <c r="E7" s="5">
        <v>829328</v>
      </c>
      <c r="F7" s="5">
        <f>SUM(D7:E7)</f>
        <v>939403</v>
      </c>
      <c r="H7" s="7">
        <v>3574702</v>
      </c>
      <c r="I7" s="156" t="s">
        <v>146</v>
      </c>
      <c r="J7" s="47"/>
      <c r="K7" s="47"/>
      <c r="L7" s="47"/>
    </row>
    <row r="8" spans="1:13" ht="15.75" customHeight="1" x14ac:dyDescent="0.3">
      <c r="A8" s="167" t="s">
        <v>35</v>
      </c>
      <c r="B8" s="167"/>
      <c r="C8" s="167"/>
      <c r="D8" s="5">
        <v>0</v>
      </c>
      <c r="E8" s="5">
        <v>14091</v>
      </c>
      <c r="F8" s="5">
        <f t="shared" ref="F8:F13" si="0">SUM(D8:E8)</f>
        <v>14091</v>
      </c>
      <c r="H8" s="7">
        <v>8993</v>
      </c>
      <c r="J8" s="47"/>
      <c r="K8" s="47"/>
    </row>
    <row r="9" spans="1:13" ht="15.75" customHeight="1" x14ac:dyDescent="0.3">
      <c r="A9" s="167" t="s">
        <v>34</v>
      </c>
      <c r="B9" s="167"/>
      <c r="C9" s="167"/>
      <c r="D9" s="5">
        <v>2234102</v>
      </c>
      <c r="E9" s="5">
        <v>223901</v>
      </c>
      <c r="F9" s="5">
        <f t="shared" si="0"/>
        <v>2458003</v>
      </c>
      <c r="H9" s="59">
        <v>1573106</v>
      </c>
      <c r="I9" s="156" t="s">
        <v>199</v>
      </c>
      <c r="J9" s="47"/>
      <c r="M9" s="47"/>
    </row>
    <row r="10" spans="1:13" ht="15.75" customHeight="1" x14ac:dyDescent="0.3">
      <c r="A10" s="167" t="s">
        <v>33</v>
      </c>
      <c r="B10" s="167"/>
      <c r="C10" s="167"/>
      <c r="D10" s="5">
        <v>66725</v>
      </c>
      <c r="E10" s="5">
        <v>115595</v>
      </c>
      <c r="F10" s="5">
        <f t="shared" si="0"/>
        <v>182320</v>
      </c>
      <c r="H10" s="59">
        <v>213104</v>
      </c>
      <c r="J10" s="47"/>
    </row>
    <row r="11" spans="1:13" ht="15.75" customHeight="1" x14ac:dyDescent="0.3">
      <c r="A11" s="167" t="s">
        <v>142</v>
      </c>
      <c r="B11" s="167"/>
      <c r="C11" s="167"/>
      <c r="D11" s="5">
        <v>0</v>
      </c>
      <c r="E11" s="5">
        <v>0</v>
      </c>
      <c r="F11" s="5">
        <f t="shared" si="0"/>
        <v>0</v>
      </c>
      <c r="H11" s="59">
        <v>126164</v>
      </c>
      <c r="I11" s="156" t="s">
        <v>180</v>
      </c>
      <c r="J11" s="47"/>
    </row>
    <row r="12" spans="1:13" ht="15.75" customHeight="1" x14ac:dyDescent="0.3">
      <c r="A12" s="167" t="s">
        <v>190</v>
      </c>
      <c r="B12" s="167"/>
      <c r="C12" s="167"/>
      <c r="D12" s="5">
        <v>0</v>
      </c>
      <c r="E12" s="5">
        <v>0</v>
      </c>
      <c r="F12" s="5">
        <f t="shared" si="0"/>
        <v>0</v>
      </c>
      <c r="H12" s="59">
        <v>84690</v>
      </c>
      <c r="I12" s="156"/>
      <c r="J12" s="47"/>
    </row>
    <row r="13" spans="1:13" ht="15.75" customHeight="1" x14ac:dyDescent="0.3">
      <c r="A13" s="167" t="s">
        <v>32</v>
      </c>
      <c r="B13" s="167"/>
      <c r="C13" s="167"/>
      <c r="D13" s="56">
        <v>996056</v>
      </c>
      <c r="E13" s="56">
        <f>-D13</f>
        <v>-996056</v>
      </c>
      <c r="F13" s="5">
        <f t="shared" si="0"/>
        <v>0</v>
      </c>
      <c r="G13" s="46"/>
      <c r="H13" s="7">
        <v>0</v>
      </c>
      <c r="J13" s="47"/>
      <c r="L13" s="47"/>
    </row>
    <row r="14" spans="1:13" ht="15.75" customHeight="1" x14ac:dyDescent="0.3">
      <c r="A14" s="167" t="s">
        <v>31</v>
      </c>
      <c r="B14" s="167"/>
      <c r="C14" s="167"/>
      <c r="D14" s="8">
        <f>SUM(D7:D13)</f>
        <v>3406958</v>
      </c>
      <c r="E14" s="8">
        <f>SUM(E7:E13)</f>
        <v>186859</v>
      </c>
      <c r="F14" s="8">
        <f>SUM(F7:F13)</f>
        <v>3593817</v>
      </c>
      <c r="G14" s="45"/>
      <c r="H14" s="50">
        <f>SUM(H7:H13)</f>
        <v>5580759</v>
      </c>
      <c r="J14" s="47"/>
      <c r="K14" s="47"/>
      <c r="L14" s="47"/>
    </row>
    <row r="15" spans="1:13" ht="15.75" customHeight="1" x14ac:dyDescent="0.3">
      <c r="D15" s="7"/>
      <c r="E15" s="7"/>
      <c r="F15" s="7"/>
      <c r="H15" s="7"/>
      <c r="J15" s="47"/>
    </row>
    <row r="16" spans="1:13" ht="15.75" customHeight="1" x14ac:dyDescent="0.3">
      <c r="A16" s="167" t="s">
        <v>30</v>
      </c>
      <c r="B16" s="167"/>
      <c r="C16" s="167"/>
      <c r="D16" s="7"/>
      <c r="E16" s="7"/>
      <c r="F16" s="7"/>
      <c r="H16" s="7"/>
      <c r="J16" s="47"/>
    </row>
    <row r="17" spans="1:17" ht="15.75" customHeight="1" x14ac:dyDescent="0.3">
      <c r="A17" s="167" t="s">
        <v>29</v>
      </c>
      <c r="B17" s="167"/>
      <c r="C17" s="167"/>
      <c r="D17" s="7"/>
      <c r="E17" s="7"/>
      <c r="F17" s="7"/>
      <c r="H17" s="7"/>
      <c r="J17" s="47"/>
    </row>
    <row r="18" spans="1:17" ht="15.75" customHeight="1" x14ac:dyDescent="0.3">
      <c r="A18" s="167" t="s">
        <v>28</v>
      </c>
      <c r="B18" s="167"/>
      <c r="C18" s="167"/>
      <c r="D18" s="5">
        <v>1121569</v>
      </c>
      <c r="E18" s="5"/>
      <c r="F18" s="5">
        <f>SUM(D18:E18)</f>
        <v>1121569</v>
      </c>
      <c r="H18" s="7">
        <v>1070567</v>
      </c>
      <c r="J18" s="54"/>
      <c r="K18" s="47"/>
    </row>
    <row r="19" spans="1:17" ht="15.75" customHeight="1" x14ac:dyDescent="0.3">
      <c r="A19" s="167" t="s">
        <v>27</v>
      </c>
      <c r="B19" s="167"/>
      <c r="C19" s="167"/>
      <c r="D19" s="5">
        <v>644910</v>
      </c>
      <c r="E19" s="5"/>
      <c r="F19" s="5">
        <f t="shared" ref="F19:F25" si="1">SUM(D19:E19)</f>
        <v>644910</v>
      </c>
      <c r="H19" s="7">
        <v>626442</v>
      </c>
      <c r="J19" s="54"/>
    </row>
    <row r="20" spans="1:17" ht="15.75" customHeight="1" x14ac:dyDescent="0.3">
      <c r="A20" s="167" t="s">
        <v>26</v>
      </c>
      <c r="B20" s="167"/>
      <c r="C20" s="167"/>
      <c r="D20" s="5">
        <v>17551</v>
      </c>
      <c r="E20" s="5"/>
      <c r="F20" s="5">
        <f t="shared" si="1"/>
        <v>17551</v>
      </c>
      <c r="H20" s="7">
        <v>50655</v>
      </c>
      <c r="J20" s="54"/>
    </row>
    <row r="21" spans="1:17" ht="15.75" customHeight="1" x14ac:dyDescent="0.3">
      <c r="A21" s="167" t="s">
        <v>25</v>
      </c>
      <c r="B21" s="167"/>
      <c r="C21" s="167"/>
      <c r="D21" s="8">
        <f>SUM(D18:D20)</f>
        <v>1784030</v>
      </c>
      <c r="E21" s="8">
        <v>0</v>
      </c>
      <c r="F21" s="37">
        <f t="shared" si="1"/>
        <v>1784030</v>
      </c>
      <c r="H21" s="50">
        <f>SUM(H18:H20)</f>
        <v>1747664</v>
      </c>
    </row>
    <row r="22" spans="1:17" ht="15.75" customHeight="1" x14ac:dyDescent="0.3">
      <c r="A22" s="167" t="s">
        <v>24</v>
      </c>
      <c r="B22" s="167"/>
      <c r="C22" s="167"/>
      <c r="D22" s="7"/>
      <c r="E22" s="7"/>
      <c r="F22" s="5"/>
      <c r="H22" s="7"/>
      <c r="K22" s="47"/>
    </row>
    <row r="23" spans="1:17" ht="15.75" customHeight="1" x14ac:dyDescent="0.3">
      <c r="A23" s="167" t="s">
        <v>23</v>
      </c>
      <c r="B23" s="167"/>
      <c r="C23" s="167"/>
      <c r="D23" s="5">
        <v>159746</v>
      </c>
      <c r="E23" s="5"/>
      <c r="F23" s="5">
        <f t="shared" si="1"/>
        <v>159746</v>
      </c>
      <c r="H23" s="7">
        <v>131391</v>
      </c>
      <c r="I23" s="102"/>
      <c r="J23" s="47"/>
    </row>
    <row r="24" spans="1:17" ht="15.75" customHeight="1" x14ac:dyDescent="0.3">
      <c r="A24" s="167" t="s">
        <v>22</v>
      </c>
      <c r="B24" s="167"/>
      <c r="C24" s="167"/>
      <c r="D24" s="5">
        <v>699191</v>
      </c>
      <c r="E24" s="5"/>
      <c r="F24" s="5">
        <f t="shared" si="1"/>
        <v>699191</v>
      </c>
      <c r="H24" s="7">
        <v>690490</v>
      </c>
    </row>
    <row r="25" spans="1:17" ht="15.75" customHeight="1" x14ac:dyDescent="0.3">
      <c r="A25" s="168" t="s">
        <v>177</v>
      </c>
      <c r="B25" s="168"/>
      <c r="C25" s="168"/>
      <c r="D25" s="8">
        <f>SUM(D23:D24)</f>
        <v>858937</v>
      </c>
      <c r="E25" s="8">
        <v>0</v>
      </c>
      <c r="F25" s="37">
        <f t="shared" si="1"/>
        <v>858937</v>
      </c>
      <c r="H25" s="50">
        <f>SUM(H23:H24)</f>
        <v>821881</v>
      </c>
    </row>
    <row r="26" spans="1:17" ht="15.75" customHeight="1" x14ac:dyDescent="0.3">
      <c r="A26" s="167" t="s">
        <v>21</v>
      </c>
      <c r="B26" s="167"/>
      <c r="C26" s="167"/>
      <c r="D26" s="37">
        <f>D21+D25</f>
        <v>2642967</v>
      </c>
      <c r="E26" s="15">
        <v>0</v>
      </c>
      <c r="F26" s="37">
        <f>F21+F25</f>
        <v>2642967</v>
      </c>
      <c r="G26" s="42"/>
      <c r="H26" s="50">
        <f>H21+H25</f>
        <v>2569545</v>
      </c>
      <c r="I26" s="102"/>
      <c r="J26" s="44"/>
      <c r="K26" s="47"/>
    </row>
    <row r="27" spans="1:17" ht="15.75" customHeight="1" x14ac:dyDescent="0.3">
      <c r="D27" s="7"/>
      <c r="E27" s="7"/>
      <c r="F27" s="5"/>
      <c r="H27" s="7"/>
    </row>
    <row r="28" spans="1:17" s="39" customFormat="1" ht="15.75" customHeight="1" x14ac:dyDescent="0.25">
      <c r="A28" s="126" t="s">
        <v>144</v>
      </c>
      <c r="B28" s="126"/>
      <c r="C28" s="126"/>
      <c r="D28" s="16">
        <f>D14-D26</f>
        <v>763991</v>
      </c>
      <c r="E28" s="16">
        <f t="shared" ref="E28:H28" si="2">E14-E26</f>
        <v>186859</v>
      </c>
      <c r="F28" s="16">
        <f t="shared" si="2"/>
        <v>950850</v>
      </c>
      <c r="G28" s="16">
        <f t="shared" si="2"/>
        <v>0</v>
      </c>
      <c r="H28" s="16">
        <f t="shared" si="2"/>
        <v>3011214</v>
      </c>
      <c r="I28" s="127"/>
      <c r="J28" s="126"/>
      <c r="Q28" s="89"/>
    </row>
    <row r="29" spans="1:17" ht="15.75" customHeight="1" x14ac:dyDescent="0.3">
      <c r="D29" s="7"/>
      <c r="E29" s="7"/>
      <c r="F29" s="5"/>
      <c r="H29" s="7"/>
    </row>
    <row r="30" spans="1:17" ht="15.75" customHeight="1" x14ac:dyDescent="0.3">
      <c r="A30" s="18" t="s">
        <v>189</v>
      </c>
      <c r="D30" s="115">
        <f>632042-3133</f>
        <v>628909</v>
      </c>
      <c r="E30" s="115"/>
      <c r="F30" s="113">
        <f t="shared" ref="F30" si="3">SUM(D30:E30)</f>
        <v>628909</v>
      </c>
      <c r="H30" s="72">
        <f>18570+106987</f>
        <v>125557</v>
      </c>
      <c r="Q30" s="111"/>
    </row>
    <row r="31" spans="1:17" ht="15.75" customHeight="1" x14ac:dyDescent="0.3">
      <c r="D31" s="7"/>
      <c r="E31" s="7"/>
      <c r="F31" s="5"/>
      <c r="H31" s="7"/>
      <c r="J31" s="47"/>
    </row>
    <row r="32" spans="1:17" ht="15.75" customHeight="1" x14ac:dyDescent="0.3">
      <c r="A32" s="166" t="s">
        <v>20</v>
      </c>
      <c r="B32" s="166"/>
      <c r="C32" s="166"/>
      <c r="D32" s="16">
        <v>4588453</v>
      </c>
      <c r="E32" s="16">
        <v>6196681</v>
      </c>
      <c r="F32" s="16">
        <f>D32+E32</f>
        <v>10785134</v>
      </c>
      <c r="H32" s="51">
        <v>6945472</v>
      </c>
    </row>
    <row r="33" spans="1:11" ht="15.75" customHeight="1" x14ac:dyDescent="0.3">
      <c r="D33" s="7"/>
      <c r="E33" s="7"/>
      <c r="F33" s="7"/>
      <c r="H33" s="51"/>
    </row>
    <row r="34" spans="1:11" ht="15.75" customHeight="1" x14ac:dyDescent="0.3">
      <c r="A34" s="166" t="s">
        <v>19</v>
      </c>
      <c r="B34" s="166"/>
      <c r="C34" s="166"/>
      <c r="D34" s="100">
        <f>D14-D26+D30</f>
        <v>1392900</v>
      </c>
      <c r="E34" s="100">
        <f t="shared" ref="E34" si="4">E14-E26+E30</f>
        <v>186859</v>
      </c>
      <c r="F34" s="100">
        <f>F28+F30</f>
        <v>1579759</v>
      </c>
      <c r="H34" s="100">
        <f>H14-H26+H30</f>
        <v>3136771</v>
      </c>
      <c r="J34" s="47"/>
      <c r="K34" s="101"/>
    </row>
    <row r="35" spans="1:11" ht="15.75" customHeight="1" x14ac:dyDescent="0.3">
      <c r="D35" s="59"/>
      <c r="E35" s="59"/>
      <c r="F35" s="59"/>
      <c r="H35" s="59"/>
    </row>
    <row r="36" spans="1:11" ht="15.75" customHeight="1" thickBot="1" x14ac:dyDescent="0.35">
      <c r="A36" s="166" t="s">
        <v>18</v>
      </c>
      <c r="B36" s="166"/>
      <c r="C36" s="166"/>
      <c r="D36" s="17">
        <f>D32+D34</f>
        <v>5981353</v>
      </c>
      <c r="E36" s="17">
        <f t="shared" ref="E36:F36" si="5">E32+E34</f>
        <v>6383540</v>
      </c>
      <c r="F36" s="17">
        <f t="shared" si="5"/>
        <v>12364893</v>
      </c>
      <c r="H36" s="17">
        <f>H32+H34</f>
        <v>10082243</v>
      </c>
    </row>
    <row r="37" spans="1:11" ht="13.35" customHeight="1" thickTop="1" x14ac:dyDescent="0.3">
      <c r="D37" s="47"/>
      <c r="F37" s="47"/>
    </row>
    <row r="38" spans="1:11" ht="13.35" customHeight="1" x14ac:dyDescent="0.3">
      <c r="F38" s="47"/>
    </row>
    <row r="39" spans="1:11" ht="13.35" customHeight="1" x14ac:dyDescent="0.3">
      <c r="D39" s="47"/>
    </row>
    <row r="40" spans="1:11" ht="13.35" customHeight="1" x14ac:dyDescent="0.3">
      <c r="F40" s="47"/>
    </row>
    <row r="41" spans="1:11" ht="13.35" customHeight="1" x14ac:dyDescent="0.3"/>
    <row r="42" spans="1:11" ht="13.35" customHeight="1" x14ac:dyDescent="0.3"/>
    <row r="43" spans="1:11" ht="13.35" customHeight="1" x14ac:dyDescent="0.3"/>
    <row r="44" spans="1:11" ht="13.35" customHeight="1" x14ac:dyDescent="0.3"/>
    <row r="45" spans="1:11" ht="13.35" customHeight="1" x14ac:dyDescent="0.3"/>
    <row r="46" spans="1:11" ht="13.35" customHeight="1" x14ac:dyDescent="0.3"/>
    <row r="47" spans="1:11" ht="13.35" customHeight="1" x14ac:dyDescent="0.3"/>
  </sheetData>
  <mergeCells count="28">
    <mergeCell ref="A6:C6"/>
    <mergeCell ref="A7:C7"/>
    <mergeCell ref="A8:C8"/>
    <mergeCell ref="A1:E1"/>
    <mergeCell ref="A2:E2"/>
    <mergeCell ref="A3:E3"/>
    <mergeCell ref="A4:E4"/>
    <mergeCell ref="B5:C5"/>
    <mergeCell ref="A9:C9"/>
    <mergeCell ref="A10:C10"/>
    <mergeCell ref="A13:C13"/>
    <mergeCell ref="A14:C14"/>
    <mergeCell ref="A11:C11"/>
    <mergeCell ref="A12:C12"/>
    <mergeCell ref="A16:C16"/>
    <mergeCell ref="A17:C17"/>
    <mergeCell ref="A18:C18"/>
    <mergeCell ref="A19:C19"/>
    <mergeCell ref="A20:C20"/>
    <mergeCell ref="A36:C36"/>
    <mergeCell ref="A26:C26"/>
    <mergeCell ref="A32:C32"/>
    <mergeCell ref="A34:C34"/>
    <mergeCell ref="A21:C21"/>
    <mergeCell ref="A22:C22"/>
    <mergeCell ref="A23:C23"/>
    <mergeCell ref="A24:C24"/>
    <mergeCell ref="A25:C25"/>
  </mergeCells>
  <pageMargins left="0.25" right="0.25" top="0.25" bottom="0.25" header="0.5" footer="0.5"/>
  <pageSetup scale="83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sheetPr>
    <pageSetUpPr fitToPage="1"/>
  </sheetPr>
  <dimension ref="A1:M46"/>
  <sheetViews>
    <sheetView zoomScale="80" zoomScaleNormal="80" workbookViewId="0">
      <selection activeCell="B7" sqref="B7"/>
    </sheetView>
  </sheetViews>
  <sheetFormatPr defaultRowHeight="16.5" x14ac:dyDescent="0.3"/>
  <cols>
    <col min="1" max="1" width="51.28515625" style="18" customWidth="1"/>
    <col min="2" max="4" width="12.7109375" style="18" customWidth="1"/>
    <col min="5" max="5" width="14.5703125" style="18" customWidth="1"/>
    <col min="6" max="6" width="16.28515625" style="18" bestFit="1" customWidth="1"/>
    <col min="7" max="7" width="13.140625" style="18" bestFit="1" customWidth="1"/>
    <col min="8" max="8" width="18.140625" style="18" bestFit="1" customWidth="1"/>
    <col min="9" max="9" width="12.7109375" style="18" bestFit="1" customWidth="1"/>
    <col min="10" max="10" width="3.140625" style="18" customWidth="1"/>
    <col min="11" max="11" width="15.7109375" style="44" bestFit="1" customWidth="1"/>
    <col min="12" max="12" width="13.28515625" style="14" customWidth="1"/>
    <col min="13" max="13" width="36.28515625" style="157" customWidth="1"/>
    <col min="14" max="16384" width="9.140625" style="18"/>
  </cols>
  <sheetData>
    <row r="1" spans="1:13" s="39" customFormat="1" ht="19.5" customHeight="1" x14ac:dyDescent="0.25">
      <c r="A1" s="39" t="s">
        <v>114</v>
      </c>
      <c r="B1" s="166"/>
      <c r="C1" s="166"/>
      <c r="D1" s="166"/>
      <c r="E1" s="166"/>
      <c r="F1" s="166"/>
      <c r="G1" s="166"/>
      <c r="H1" s="166"/>
      <c r="I1" s="166"/>
      <c r="K1" s="61"/>
      <c r="L1" s="64"/>
      <c r="M1" s="155"/>
    </row>
    <row r="2" spans="1:13" s="39" customFormat="1" ht="19.5" customHeight="1" x14ac:dyDescent="0.25">
      <c r="A2" s="39" t="s">
        <v>115</v>
      </c>
      <c r="B2" s="166"/>
      <c r="C2" s="166"/>
      <c r="D2" s="166"/>
      <c r="E2" s="166"/>
      <c r="F2" s="166"/>
      <c r="G2" s="166"/>
      <c r="H2" s="166"/>
      <c r="I2" s="166"/>
      <c r="K2" s="61"/>
      <c r="L2" s="64"/>
      <c r="M2" s="155"/>
    </row>
    <row r="3" spans="1:13" s="39" customFormat="1" ht="19.5" customHeight="1" x14ac:dyDescent="0.25">
      <c r="A3" s="39" t="s">
        <v>191</v>
      </c>
      <c r="B3" s="166"/>
      <c r="C3" s="166"/>
      <c r="D3" s="166"/>
      <c r="E3" s="166"/>
      <c r="F3" s="166"/>
      <c r="G3" s="166"/>
      <c r="H3" s="166"/>
      <c r="I3" s="166"/>
      <c r="K3" s="61"/>
      <c r="L3" s="64"/>
      <c r="M3" s="155"/>
    </row>
    <row r="4" spans="1:13" ht="15.75" customHeight="1" x14ac:dyDescent="0.3">
      <c r="A4" s="49"/>
      <c r="B4" s="169"/>
      <c r="C4" s="169"/>
      <c r="D4" s="169"/>
      <c r="E4" s="169"/>
      <c r="F4" s="169"/>
      <c r="G4" s="169"/>
      <c r="H4" s="169"/>
      <c r="I4" s="169"/>
    </row>
    <row r="5" spans="1:13" ht="15.75" customHeight="1" x14ac:dyDescent="0.3">
      <c r="B5" s="171" t="s">
        <v>69</v>
      </c>
      <c r="C5" s="171"/>
      <c r="D5" s="171"/>
      <c r="E5" s="171"/>
      <c r="F5" s="171" t="s">
        <v>68</v>
      </c>
      <c r="G5" s="171"/>
      <c r="H5" s="171"/>
    </row>
    <row r="6" spans="1:13" ht="53.25" customHeight="1" x14ac:dyDescent="0.3">
      <c r="B6" s="20" t="s">
        <v>67</v>
      </c>
      <c r="C6" s="20" t="s">
        <v>66</v>
      </c>
      <c r="D6" s="20" t="s">
        <v>138</v>
      </c>
      <c r="E6" s="20" t="s">
        <v>65</v>
      </c>
      <c r="F6" s="21" t="s">
        <v>64</v>
      </c>
      <c r="G6" s="21" t="s">
        <v>63</v>
      </c>
      <c r="H6" s="20" t="s">
        <v>62</v>
      </c>
      <c r="I6" s="21" t="s">
        <v>155</v>
      </c>
      <c r="J6" s="68"/>
      <c r="K6" s="62" t="s">
        <v>161</v>
      </c>
      <c r="L6" s="66" t="s">
        <v>128</v>
      </c>
    </row>
    <row r="7" spans="1:13" ht="15.75" customHeight="1" x14ac:dyDescent="0.3">
      <c r="J7" s="68"/>
    </row>
    <row r="8" spans="1:13" ht="15.75" customHeight="1" x14ac:dyDescent="0.3">
      <c r="A8" s="96" t="s">
        <v>61</v>
      </c>
      <c r="B8" s="5">
        <v>847219.13956028013</v>
      </c>
      <c r="C8" s="5">
        <v>270103.89644110948</v>
      </c>
      <c r="D8" s="5">
        <v>5005.4649929756406</v>
      </c>
      <c r="E8" s="5">
        <v>1122328.5009943652</v>
      </c>
      <c r="F8" s="5">
        <v>54657.400845560449</v>
      </c>
      <c r="G8" s="5">
        <v>255627.43816007426</v>
      </c>
      <c r="H8" s="5">
        <v>310284.83900563471</v>
      </c>
      <c r="I8" s="5">
        <v>1432613.3399999999</v>
      </c>
      <c r="J8" s="68"/>
      <c r="K8" s="7">
        <v>1787309.75</v>
      </c>
      <c r="L8" s="65">
        <f>I8-K8</f>
        <v>-354696.41000000015</v>
      </c>
    </row>
    <row r="9" spans="1:13" ht="15.75" customHeight="1" x14ac:dyDescent="0.3">
      <c r="A9" s="96" t="s">
        <v>60</v>
      </c>
      <c r="B9" s="5">
        <v>40613.701566099844</v>
      </c>
      <c r="C9" s="5">
        <v>47498.143337589143</v>
      </c>
      <c r="D9" s="5">
        <v>1669.7717939731178</v>
      </c>
      <c r="E9" s="5">
        <v>89781.616697662117</v>
      </c>
      <c r="F9" s="5">
        <v>49827.466945363216</v>
      </c>
      <c r="G9" s="5">
        <v>99381.036356974684</v>
      </c>
      <c r="H9" s="5">
        <v>149208.50330233789</v>
      </c>
      <c r="I9" s="5">
        <v>238990.12</v>
      </c>
      <c r="J9" s="69"/>
      <c r="K9" s="7">
        <v>334986.46999999997</v>
      </c>
      <c r="L9" s="65">
        <f t="shared" ref="L9:L37" si="0">I9-K9</f>
        <v>-95996.349999999977</v>
      </c>
      <c r="M9" s="157" t="s">
        <v>147</v>
      </c>
    </row>
    <row r="10" spans="1:13" ht="15.75" customHeight="1" x14ac:dyDescent="0.3">
      <c r="A10" s="96" t="s">
        <v>59</v>
      </c>
      <c r="B10" s="5">
        <v>40372.145044415352</v>
      </c>
      <c r="C10" s="5">
        <v>11640.992402997235</v>
      </c>
      <c r="D10" s="5">
        <v>1659.8405576906389</v>
      </c>
      <c r="E10" s="5">
        <v>53672.978005103228</v>
      </c>
      <c r="F10" s="5">
        <v>2375.4540168920958</v>
      </c>
      <c r="G10" s="5">
        <v>10691.247978004665</v>
      </c>
      <c r="H10" s="5">
        <v>13066.701994896761</v>
      </c>
      <c r="I10" s="5">
        <v>66739.679999999993</v>
      </c>
      <c r="J10" s="68"/>
      <c r="K10" s="7">
        <v>67454.81</v>
      </c>
      <c r="L10" s="65">
        <f t="shared" si="0"/>
        <v>-715.13000000000466</v>
      </c>
      <c r="M10" s="157" t="s">
        <v>160</v>
      </c>
    </row>
    <row r="11" spans="1:13" ht="15.75" customHeight="1" x14ac:dyDescent="0.3">
      <c r="A11" s="96" t="s">
        <v>58</v>
      </c>
      <c r="B11" s="5">
        <v>42709.02</v>
      </c>
      <c r="C11" s="5">
        <v>0</v>
      </c>
      <c r="D11" s="5">
        <v>0</v>
      </c>
      <c r="E11" s="5">
        <v>42709.02</v>
      </c>
      <c r="F11" s="5">
        <v>0</v>
      </c>
      <c r="G11" s="5">
        <v>0</v>
      </c>
      <c r="H11" s="5">
        <v>0</v>
      </c>
      <c r="I11" s="5">
        <v>42709.02</v>
      </c>
      <c r="J11" s="68"/>
      <c r="K11" s="7">
        <v>49230.74</v>
      </c>
      <c r="L11" s="65">
        <f t="shared" si="0"/>
        <v>-6521.7200000000012</v>
      </c>
      <c r="M11" s="157" t="s">
        <v>156</v>
      </c>
    </row>
    <row r="12" spans="1:13" ht="15.75" customHeight="1" x14ac:dyDescent="0.3">
      <c r="A12" s="96" t="s">
        <v>57</v>
      </c>
      <c r="B12" s="5">
        <v>0</v>
      </c>
      <c r="C12" s="5">
        <v>200698.12</v>
      </c>
      <c r="D12" s="5">
        <v>0</v>
      </c>
      <c r="E12" s="5">
        <v>200698.12</v>
      </c>
      <c r="F12" s="5">
        <v>0</v>
      </c>
      <c r="G12" s="5">
        <v>0</v>
      </c>
      <c r="H12" s="5">
        <v>0</v>
      </c>
      <c r="I12" s="5">
        <v>200698.12</v>
      </c>
      <c r="J12" s="68"/>
      <c r="K12" s="7">
        <v>559178.87</v>
      </c>
      <c r="L12" s="65">
        <f t="shared" si="0"/>
        <v>-358480.75</v>
      </c>
      <c r="M12" s="157" t="s">
        <v>157</v>
      </c>
    </row>
    <row r="13" spans="1:13" ht="15.75" customHeight="1" x14ac:dyDescent="0.3">
      <c r="A13" s="96" t="s">
        <v>119</v>
      </c>
      <c r="B13" s="5">
        <v>0</v>
      </c>
      <c r="C13" s="5">
        <v>59585.4</v>
      </c>
      <c r="D13" s="5">
        <v>0</v>
      </c>
      <c r="E13" s="5">
        <v>59585.4</v>
      </c>
      <c r="F13" s="5">
        <v>0</v>
      </c>
      <c r="G13" s="5">
        <v>25</v>
      </c>
      <c r="H13" s="5">
        <v>25</v>
      </c>
      <c r="I13" s="5">
        <v>59610.400000000001</v>
      </c>
      <c r="J13" s="68"/>
      <c r="K13" s="7">
        <v>14750</v>
      </c>
      <c r="L13" s="65">
        <f t="shared" si="0"/>
        <v>44860.4</v>
      </c>
      <c r="M13" s="157" t="s">
        <v>158</v>
      </c>
    </row>
    <row r="14" spans="1:13" ht="15.75" customHeight="1" x14ac:dyDescent="0.3">
      <c r="A14" s="96" t="s">
        <v>56</v>
      </c>
      <c r="B14" s="5">
        <v>17786.832504820955</v>
      </c>
      <c r="C14" s="5">
        <v>3264.3378851880907</v>
      </c>
      <c r="D14" s="5">
        <v>0.44741796234046366</v>
      </c>
      <c r="E14" s="5">
        <v>21051.617807971386</v>
      </c>
      <c r="F14" s="5">
        <v>0.64031499347747556</v>
      </c>
      <c r="G14" s="5">
        <v>6348.031877035135</v>
      </c>
      <c r="H14" s="5">
        <v>6348.6721920286127</v>
      </c>
      <c r="I14" s="5">
        <v>27400.29</v>
      </c>
      <c r="J14" s="68"/>
      <c r="K14" s="7">
        <v>213027.45</v>
      </c>
      <c r="L14" s="65">
        <f t="shared" si="0"/>
        <v>-185627.16</v>
      </c>
    </row>
    <row r="15" spans="1:13" ht="15.75" customHeight="1" x14ac:dyDescent="0.3">
      <c r="A15" s="96" t="s">
        <v>55</v>
      </c>
      <c r="B15" s="5">
        <v>5069.4792071915135</v>
      </c>
      <c r="C15" s="5">
        <v>14586.914239585249</v>
      </c>
      <c r="D15" s="5">
        <v>1847.6105958642897</v>
      </c>
      <c r="E15" s="5">
        <v>21504.004042641052</v>
      </c>
      <c r="F15" s="5">
        <v>3338.4700825615168</v>
      </c>
      <c r="G15" s="5">
        <v>241810.20587479742</v>
      </c>
      <c r="H15" s="56">
        <v>245148.67595735894</v>
      </c>
      <c r="I15" s="5">
        <v>266652.68</v>
      </c>
      <c r="K15" s="7">
        <v>242916.72</v>
      </c>
      <c r="L15" s="65">
        <f t="shared" si="0"/>
        <v>23735.959999999992</v>
      </c>
    </row>
    <row r="16" spans="1:13" ht="15.75" customHeight="1" x14ac:dyDescent="0.3">
      <c r="A16" s="96" t="s">
        <v>54</v>
      </c>
      <c r="B16" s="5">
        <v>11100.95</v>
      </c>
      <c r="C16" s="5">
        <v>0</v>
      </c>
      <c r="D16" s="5">
        <v>0</v>
      </c>
      <c r="E16" s="5">
        <v>11100.95</v>
      </c>
      <c r="F16" s="5">
        <v>0</v>
      </c>
      <c r="G16" s="5">
        <v>160</v>
      </c>
      <c r="H16" s="5">
        <v>160</v>
      </c>
      <c r="I16" s="5">
        <v>11260.95</v>
      </c>
      <c r="J16" s="68"/>
      <c r="K16" s="7">
        <v>14258.54</v>
      </c>
      <c r="L16" s="65">
        <f t="shared" si="0"/>
        <v>-2997.59</v>
      </c>
    </row>
    <row r="17" spans="1:13" ht="15.75" customHeight="1" x14ac:dyDescent="0.3">
      <c r="A17" s="96" t="s">
        <v>72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68"/>
      <c r="K17" s="44">
        <v>0</v>
      </c>
      <c r="L17" s="65">
        <f t="shared" si="0"/>
        <v>0</v>
      </c>
    </row>
    <row r="18" spans="1:13" ht="15.75" customHeight="1" x14ac:dyDescent="0.3">
      <c r="A18" s="96" t="s">
        <v>53</v>
      </c>
      <c r="B18" s="5">
        <v>58.76</v>
      </c>
      <c r="C18" s="5">
        <v>41.97</v>
      </c>
      <c r="D18" s="5">
        <v>8.9499999999999993</v>
      </c>
      <c r="E18" s="5">
        <v>109.67999999999999</v>
      </c>
      <c r="F18" s="5">
        <v>0</v>
      </c>
      <c r="G18" s="5">
        <v>16.489999999999998</v>
      </c>
      <c r="H18" s="5">
        <v>16.489999999999998</v>
      </c>
      <c r="I18" s="5">
        <v>126.16999999999999</v>
      </c>
      <c r="J18" s="68"/>
      <c r="K18" s="7">
        <f>250+5691.03</f>
        <v>5941.03</v>
      </c>
      <c r="L18" s="65">
        <f t="shared" si="0"/>
        <v>-5814.86</v>
      </c>
    </row>
    <row r="19" spans="1:13" ht="15.75" customHeight="1" x14ac:dyDescent="0.3">
      <c r="A19" s="96" t="s">
        <v>52</v>
      </c>
      <c r="B19" s="5">
        <v>0</v>
      </c>
      <c r="C19" s="5">
        <v>0</v>
      </c>
      <c r="D19" s="5">
        <v>116.49</v>
      </c>
      <c r="E19" s="5">
        <v>116.49</v>
      </c>
      <c r="F19" s="5">
        <v>0</v>
      </c>
      <c r="G19" s="5">
        <v>40</v>
      </c>
      <c r="H19" s="5">
        <v>40</v>
      </c>
      <c r="I19" s="5">
        <v>156.49</v>
      </c>
      <c r="J19" s="68"/>
      <c r="K19" s="7">
        <v>491.94</v>
      </c>
      <c r="L19" s="65">
        <f t="shared" si="0"/>
        <v>-335.45</v>
      </c>
    </row>
    <row r="20" spans="1:13" ht="15.75" customHeight="1" x14ac:dyDescent="0.3">
      <c r="A20" s="96" t="s">
        <v>51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213.02</v>
      </c>
      <c r="H20" s="5">
        <v>213.02</v>
      </c>
      <c r="I20" s="5">
        <v>213.02</v>
      </c>
      <c r="J20" s="68"/>
      <c r="K20" s="7">
        <v>651.98</v>
      </c>
      <c r="L20" s="65">
        <f t="shared" si="0"/>
        <v>-438.96000000000004</v>
      </c>
    </row>
    <row r="21" spans="1:13" ht="15.75" customHeight="1" x14ac:dyDescent="0.3">
      <c r="A21" s="96" t="s">
        <v>71</v>
      </c>
      <c r="B21" s="5">
        <v>2400.7706094843134</v>
      </c>
      <c r="C21" s="5">
        <v>204.94803201816001</v>
      </c>
      <c r="D21" s="5">
        <v>2529.2226851445271</v>
      </c>
      <c r="E21" s="5">
        <v>5134.9413266470001</v>
      </c>
      <c r="F21" s="5">
        <v>41.821574059812889</v>
      </c>
      <c r="G21" s="5">
        <v>188.22709929318634</v>
      </c>
      <c r="H21" s="5">
        <v>230.04867335299923</v>
      </c>
      <c r="I21" s="5">
        <v>5364.99</v>
      </c>
      <c r="J21" s="68"/>
      <c r="K21" s="7">
        <v>4242.1400000000003</v>
      </c>
      <c r="L21" s="65">
        <f t="shared" si="0"/>
        <v>1122.8499999999995</v>
      </c>
    </row>
    <row r="22" spans="1:13" ht="15.75" customHeight="1" x14ac:dyDescent="0.3">
      <c r="A22" s="96" t="s">
        <v>113</v>
      </c>
      <c r="B22" s="5">
        <v>408</v>
      </c>
      <c r="C22" s="5">
        <v>0</v>
      </c>
      <c r="D22" s="5">
        <v>0</v>
      </c>
      <c r="E22" s="5">
        <v>408</v>
      </c>
      <c r="F22" s="5">
        <v>0</v>
      </c>
      <c r="G22" s="5">
        <v>20.97</v>
      </c>
      <c r="H22" s="5">
        <v>20.97</v>
      </c>
      <c r="I22" s="5">
        <v>428.97</v>
      </c>
      <c r="J22" s="68"/>
      <c r="K22" s="7">
        <v>2101.37</v>
      </c>
      <c r="L22" s="65">
        <f t="shared" si="0"/>
        <v>-1672.3999999999999</v>
      </c>
    </row>
    <row r="23" spans="1:13" ht="15.75" customHeight="1" x14ac:dyDescent="0.3">
      <c r="A23" s="96" t="s">
        <v>50</v>
      </c>
      <c r="B23" s="5">
        <v>1646.7779501469336</v>
      </c>
      <c r="C23" s="5">
        <v>26.163578555509787</v>
      </c>
      <c r="D23" s="5">
        <v>68.730555550365182</v>
      </c>
      <c r="E23" s="5">
        <v>1741.6720842528084</v>
      </c>
      <c r="F23" s="5">
        <v>5.3389243480612194</v>
      </c>
      <c r="G23" s="5">
        <v>2142.31899139913</v>
      </c>
      <c r="H23" s="5">
        <v>2147.6579157471911</v>
      </c>
      <c r="I23" s="5">
        <v>3889.3299999999995</v>
      </c>
      <c r="J23" s="68"/>
      <c r="K23" s="7">
        <v>11044.02</v>
      </c>
      <c r="L23" s="65">
        <f t="shared" si="0"/>
        <v>-7154.6900000000005</v>
      </c>
    </row>
    <row r="24" spans="1:13" ht="15.75" customHeight="1" x14ac:dyDescent="0.3">
      <c r="A24" s="96" t="s">
        <v>49</v>
      </c>
      <c r="B24" s="5">
        <v>6262.0509904952924</v>
      </c>
      <c r="C24" s="5">
        <v>2059.2031292105785</v>
      </c>
      <c r="D24" s="5">
        <v>255.97480482904365</v>
      </c>
      <c r="E24" s="5">
        <v>8577.2289245349148</v>
      </c>
      <c r="F24" s="5">
        <v>449.56420935340918</v>
      </c>
      <c r="G24" s="5">
        <v>1648.7668661116761</v>
      </c>
      <c r="H24" s="5">
        <v>2098.3310754650852</v>
      </c>
      <c r="I24" s="5">
        <v>10675.56</v>
      </c>
      <c r="J24" s="68"/>
      <c r="K24" s="7">
        <v>17643.900000000001</v>
      </c>
      <c r="L24" s="65">
        <f t="shared" si="0"/>
        <v>-6968.340000000002</v>
      </c>
      <c r="M24" s="157" t="s">
        <v>159</v>
      </c>
    </row>
    <row r="25" spans="1:13" ht="15.75" customHeight="1" x14ac:dyDescent="0.3">
      <c r="A25" s="96" t="s">
        <v>48</v>
      </c>
      <c r="B25" s="5">
        <v>7667.8104771666258</v>
      </c>
      <c r="C25" s="5">
        <v>2210.9532058333543</v>
      </c>
      <c r="D25" s="5">
        <v>315.25059678360935</v>
      </c>
      <c r="E25" s="5">
        <v>10194.014279783589</v>
      </c>
      <c r="F25" s="5">
        <v>451.16580203291335</v>
      </c>
      <c r="G25" s="5">
        <v>2030.569918183495</v>
      </c>
      <c r="H25" s="5">
        <v>2481.7357202164085</v>
      </c>
      <c r="I25" s="5">
        <v>12675.749999999996</v>
      </c>
      <c r="J25" s="68"/>
      <c r="K25" s="7">
        <v>17260.68</v>
      </c>
      <c r="L25" s="65">
        <f t="shared" si="0"/>
        <v>-4584.9300000000039</v>
      </c>
    </row>
    <row r="26" spans="1:13" ht="15.75" customHeight="1" x14ac:dyDescent="0.3">
      <c r="A26" s="96" t="s">
        <v>47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68"/>
      <c r="K26" s="7">
        <v>3035.14</v>
      </c>
      <c r="L26" s="65">
        <f t="shared" si="0"/>
        <v>-3035.14</v>
      </c>
    </row>
    <row r="27" spans="1:13" ht="15.75" customHeight="1" x14ac:dyDescent="0.3">
      <c r="A27" s="96" t="s">
        <v>46</v>
      </c>
      <c r="B27" s="5">
        <v>13489.406128676976</v>
      </c>
      <c r="C27" s="5">
        <v>3889.5647999906032</v>
      </c>
      <c r="D27" s="5">
        <v>554.59682330245528</v>
      </c>
      <c r="E27" s="5">
        <v>17933.567751970033</v>
      </c>
      <c r="F27" s="5">
        <v>793.70228999727442</v>
      </c>
      <c r="G27" s="5">
        <v>3572.229958032688</v>
      </c>
      <c r="H27" s="5">
        <v>4365.9322480299625</v>
      </c>
      <c r="I27" s="5">
        <v>22299.499999999996</v>
      </c>
      <c r="J27" s="68"/>
      <c r="K27" s="7">
        <v>22184.720000000001</v>
      </c>
      <c r="L27" s="65">
        <f t="shared" si="0"/>
        <v>114.7799999999952</v>
      </c>
    </row>
    <row r="28" spans="1:13" ht="15.75" customHeight="1" x14ac:dyDescent="0.3">
      <c r="A28" s="96" t="s">
        <v>45</v>
      </c>
      <c r="B28" s="5">
        <v>12478.801745686418</v>
      </c>
      <c r="C28" s="5">
        <v>2659.8105990327922</v>
      </c>
      <c r="D28" s="5">
        <v>138.28124869649614</v>
      </c>
      <c r="E28" s="5">
        <v>15276.893593415707</v>
      </c>
      <c r="F28" s="5">
        <v>18857.898976594453</v>
      </c>
      <c r="G28" s="5">
        <v>34539.567429989838</v>
      </c>
      <c r="H28" s="5">
        <v>53397.466406584295</v>
      </c>
      <c r="I28" s="5">
        <v>68674.36</v>
      </c>
      <c r="J28" s="68"/>
      <c r="K28" s="7">
        <v>57130.720000000001</v>
      </c>
      <c r="L28" s="65">
        <f t="shared" si="0"/>
        <v>11543.64</v>
      </c>
    </row>
    <row r="29" spans="1:13" ht="15.75" customHeight="1" x14ac:dyDescent="0.3">
      <c r="A29" s="96" t="s">
        <v>44</v>
      </c>
      <c r="B29" s="5">
        <v>161.93089663046956</v>
      </c>
      <c r="C29" s="5">
        <v>1200.9680249540272</v>
      </c>
      <c r="D29" s="5">
        <v>4.4127498086752901</v>
      </c>
      <c r="E29" s="5">
        <v>1367.311671393172</v>
      </c>
      <c r="F29" s="5">
        <v>225.47523564717667</v>
      </c>
      <c r="G29" s="5">
        <v>5213.7330929596519</v>
      </c>
      <c r="H29" s="5">
        <v>5439.2083286068282</v>
      </c>
      <c r="I29" s="5">
        <v>6806.52</v>
      </c>
      <c r="J29" s="68"/>
      <c r="K29" s="7">
        <v>12496.61</v>
      </c>
      <c r="L29" s="65">
        <f t="shared" si="0"/>
        <v>-5690.09</v>
      </c>
    </row>
    <row r="30" spans="1:13" ht="15.75" customHeight="1" x14ac:dyDescent="0.3">
      <c r="A30" s="96" t="s">
        <v>43</v>
      </c>
      <c r="B30" s="5">
        <v>28062.495595958779</v>
      </c>
      <c r="C30" s="5">
        <v>8091.6012186696589</v>
      </c>
      <c r="D30" s="5">
        <v>1153.7476715429218</v>
      </c>
      <c r="E30" s="5">
        <v>37307.844486171358</v>
      </c>
      <c r="F30" s="5">
        <v>1582.167353483444</v>
      </c>
      <c r="G30" s="5">
        <v>7431.4381603451875</v>
      </c>
      <c r="H30" s="5">
        <v>9013.605513828632</v>
      </c>
      <c r="I30" s="5">
        <v>46321.44999999999</v>
      </c>
      <c r="J30" s="68"/>
      <c r="K30" s="7">
        <v>45469.4</v>
      </c>
      <c r="L30" s="65">
        <f t="shared" si="0"/>
        <v>852.04999999998836</v>
      </c>
    </row>
    <row r="31" spans="1:13" ht="15.75" customHeight="1" x14ac:dyDescent="0.3">
      <c r="A31" s="96" t="s">
        <v>127</v>
      </c>
      <c r="B31" s="5">
        <v>0</v>
      </c>
      <c r="C31" s="5">
        <v>0</v>
      </c>
      <c r="D31" s="5">
        <v>0</v>
      </c>
      <c r="E31" s="5">
        <v>0</v>
      </c>
      <c r="F31" s="5">
        <v>147.59</v>
      </c>
      <c r="G31" s="5">
        <v>0</v>
      </c>
      <c r="H31" s="5">
        <v>147.59</v>
      </c>
      <c r="I31" s="5">
        <v>147.59</v>
      </c>
      <c r="J31" s="68"/>
      <c r="K31" s="7">
        <v>70</v>
      </c>
      <c r="L31" s="65">
        <f t="shared" si="0"/>
        <v>77.59</v>
      </c>
    </row>
    <row r="32" spans="1:13" ht="15.75" customHeight="1" x14ac:dyDescent="0.3">
      <c r="A32" s="96" t="s">
        <v>42</v>
      </c>
      <c r="B32" s="5">
        <v>9121.8498330911789</v>
      </c>
      <c r="C32" s="5">
        <v>2630.2140867539765</v>
      </c>
      <c r="D32" s="5">
        <v>375.03125725599119</v>
      </c>
      <c r="E32" s="5">
        <v>12127.095177101146</v>
      </c>
      <c r="F32" s="5">
        <v>536.71992914085524</v>
      </c>
      <c r="G32" s="5">
        <v>2415.6248937579962</v>
      </c>
      <c r="H32" s="5">
        <v>2952.3448228988514</v>
      </c>
      <c r="I32" s="5">
        <v>15079.439999999997</v>
      </c>
      <c r="J32" s="68"/>
      <c r="K32" s="7">
        <v>21619.74</v>
      </c>
      <c r="L32" s="65">
        <f t="shared" si="0"/>
        <v>-6540.3000000000047</v>
      </c>
    </row>
    <row r="33" spans="1:13" ht="15.75" customHeight="1" x14ac:dyDescent="0.3">
      <c r="A33" s="96" t="s">
        <v>41</v>
      </c>
      <c r="B33" s="5">
        <v>1052.9594686850767</v>
      </c>
      <c r="C33" s="5">
        <v>303.61263098955777</v>
      </c>
      <c r="D33" s="5">
        <v>43.290858828657676</v>
      </c>
      <c r="E33" s="5">
        <v>1399.8629585032922</v>
      </c>
      <c r="F33" s="5">
        <v>61.955013704641615</v>
      </c>
      <c r="G33" s="5">
        <v>2328.2920277920662</v>
      </c>
      <c r="H33" s="5">
        <v>2390.2470414967079</v>
      </c>
      <c r="I33" s="5">
        <v>3790.11</v>
      </c>
      <c r="J33" s="68"/>
      <c r="K33" s="7">
        <v>6563.25</v>
      </c>
      <c r="L33" s="65">
        <f t="shared" si="0"/>
        <v>-2773.14</v>
      </c>
    </row>
    <row r="34" spans="1:13" ht="15.75" customHeight="1" x14ac:dyDescent="0.3">
      <c r="A34" s="96" t="s">
        <v>40</v>
      </c>
      <c r="B34" s="5">
        <v>2143.5146947143658</v>
      </c>
      <c r="C34" s="5">
        <v>4899.3057046939484</v>
      </c>
      <c r="D34" s="5">
        <v>88.127411173683313</v>
      </c>
      <c r="E34" s="5">
        <v>7130.9478105819971</v>
      </c>
      <c r="F34" s="5">
        <v>171.28212173082991</v>
      </c>
      <c r="G34" s="5">
        <v>14285.590067687173</v>
      </c>
      <c r="H34" s="5">
        <v>14456.872189418003</v>
      </c>
      <c r="I34" s="5">
        <v>21587.82</v>
      </c>
      <c r="J34" s="68"/>
      <c r="K34" s="7">
        <v>30483.84</v>
      </c>
      <c r="L34" s="65">
        <f t="shared" si="0"/>
        <v>-8896.02</v>
      </c>
    </row>
    <row r="35" spans="1:13" ht="15.75" customHeight="1" x14ac:dyDescent="0.3">
      <c r="A35" s="96" t="s">
        <v>70</v>
      </c>
      <c r="B35" s="5">
        <v>2434.8016622760524</v>
      </c>
      <c r="C35" s="5">
        <v>702.0560245728459</v>
      </c>
      <c r="D35" s="5">
        <v>140.74324060146563</v>
      </c>
      <c r="E35" s="5">
        <v>3277.6009274503635</v>
      </c>
      <c r="F35" s="5">
        <v>143.26113667297605</v>
      </c>
      <c r="G35" s="5">
        <v>744.43793587665948</v>
      </c>
      <c r="H35" s="5">
        <v>887.6990725496355</v>
      </c>
      <c r="I35" s="5">
        <v>4165.2999999999993</v>
      </c>
      <c r="J35" s="68"/>
      <c r="K35" s="7">
        <v>7961.68</v>
      </c>
      <c r="L35" s="65">
        <f t="shared" si="0"/>
        <v>-3796.380000000001</v>
      </c>
    </row>
    <row r="36" spans="1:13" ht="15.75" customHeight="1" x14ac:dyDescent="0.3">
      <c r="A36" s="96" t="s">
        <v>123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500</v>
      </c>
      <c r="H36" s="5">
        <v>500</v>
      </c>
      <c r="I36" s="5">
        <v>500</v>
      </c>
      <c r="J36" s="68"/>
      <c r="K36" s="7">
        <v>32005.66</v>
      </c>
      <c r="L36" s="65">
        <f t="shared" si="0"/>
        <v>-31505.66</v>
      </c>
    </row>
    <row r="37" spans="1:13" ht="18" customHeight="1" x14ac:dyDescent="0.3">
      <c r="A37" s="96" t="s">
        <v>116</v>
      </c>
      <c r="B37" s="5">
        <v>44395.012064179653</v>
      </c>
      <c r="C37" s="5">
        <v>12800.954658255761</v>
      </c>
      <c r="D37" s="5">
        <v>1825.2347380160791</v>
      </c>
      <c r="E37" s="5">
        <v>59021.201460451492</v>
      </c>
      <c r="F37" s="5">
        <v>2612.1552278633899</v>
      </c>
      <c r="G37" s="5">
        <v>11756.573311685101</v>
      </c>
      <c r="H37" s="5">
        <v>14368.728539548491</v>
      </c>
      <c r="I37" s="5">
        <v>73389.929999999978</v>
      </c>
      <c r="J37" s="73"/>
      <c r="K37" s="72">
        <v>78641.490000000005</v>
      </c>
      <c r="L37" s="65">
        <f t="shared" si="0"/>
        <v>-5251.5600000000268</v>
      </c>
    </row>
    <row r="38" spans="1:13" s="39" customFormat="1" ht="15" x14ac:dyDescent="0.25">
      <c r="A38" s="39" t="s">
        <v>73</v>
      </c>
      <c r="B38" s="74">
        <f t="shared" ref="B38:H38" si="1">SUM(B8:B37)</f>
        <v>1136656.2100000002</v>
      </c>
      <c r="C38" s="74">
        <f t="shared" si="1"/>
        <v>649099.13</v>
      </c>
      <c r="D38" s="74">
        <f t="shared" si="1"/>
        <v>17801.219999999998</v>
      </c>
      <c r="E38" s="74">
        <f t="shared" si="1"/>
        <v>1803556.56</v>
      </c>
      <c r="F38" s="74">
        <f t="shared" si="1"/>
        <v>136279.52999999997</v>
      </c>
      <c r="G38" s="74">
        <f t="shared" si="1"/>
        <v>703130.80999999994</v>
      </c>
      <c r="H38" s="74">
        <f t="shared" si="1"/>
        <v>839410.33999999973</v>
      </c>
      <c r="I38" s="74">
        <f>SUM(I8:I37)+1</f>
        <v>2642967.9000000004</v>
      </c>
      <c r="J38" s="75"/>
      <c r="K38" s="76">
        <f>SUM(K8:K37)</f>
        <v>3660152.6600000015</v>
      </c>
      <c r="L38" s="76">
        <f>SUM(L8:L37)</f>
        <v>-1017185.7600000002</v>
      </c>
      <c r="M38" s="155"/>
    </row>
    <row r="39" spans="1:13" s="39" customFormat="1" ht="15" x14ac:dyDescent="0.25">
      <c r="B39" s="40"/>
      <c r="C39" s="40"/>
      <c r="D39" s="40"/>
      <c r="E39" s="40"/>
      <c r="F39" s="40"/>
      <c r="G39" s="40"/>
      <c r="H39" s="40"/>
      <c r="I39" s="40"/>
      <c r="J39" s="70"/>
      <c r="K39" s="51"/>
      <c r="L39" s="40"/>
      <c r="M39" s="155"/>
    </row>
    <row r="40" spans="1:13" s="39" customFormat="1" ht="15" x14ac:dyDescent="0.25">
      <c r="A40" s="39" t="s">
        <v>134</v>
      </c>
      <c r="B40" s="152"/>
      <c r="C40" s="152"/>
      <c r="D40" s="152"/>
      <c r="E40" s="152"/>
      <c r="F40" s="152"/>
      <c r="G40" s="152"/>
      <c r="H40" s="152"/>
      <c r="I40" s="152"/>
      <c r="J40" s="153"/>
      <c r="K40" s="154">
        <v>90449</v>
      </c>
      <c r="L40" s="152"/>
      <c r="M40" s="155"/>
    </row>
    <row r="41" spans="1:13" s="39" customFormat="1" ht="15" x14ac:dyDescent="0.25">
      <c r="B41" s="40"/>
      <c r="C41" s="40"/>
      <c r="D41" s="40"/>
      <c r="E41" s="40"/>
      <c r="F41" s="40"/>
      <c r="G41" s="40"/>
      <c r="H41" s="40"/>
      <c r="I41" s="40"/>
      <c r="J41" s="70"/>
      <c r="K41" s="71"/>
      <c r="L41" s="40"/>
      <c r="M41" s="155"/>
    </row>
    <row r="42" spans="1:13" x14ac:dyDescent="0.3">
      <c r="A42" s="39" t="s">
        <v>135</v>
      </c>
      <c r="B42" s="40">
        <f>B38+B40</f>
        <v>1136656.2100000002</v>
      </c>
      <c r="C42" s="40">
        <f t="shared" ref="C42:G42" si="2">C38+C40</f>
        <v>649099.13</v>
      </c>
      <c r="D42" s="40">
        <f t="shared" si="2"/>
        <v>17801.219999999998</v>
      </c>
      <c r="E42" s="40">
        <f t="shared" si="2"/>
        <v>1803556.56</v>
      </c>
      <c r="F42" s="40">
        <f t="shared" si="2"/>
        <v>136279.52999999997</v>
      </c>
      <c r="G42" s="40">
        <f t="shared" si="2"/>
        <v>703130.80999999994</v>
      </c>
      <c r="H42" s="40">
        <f>F42+G42</f>
        <v>839410.33999999985</v>
      </c>
      <c r="I42" s="40">
        <f>E42+H42</f>
        <v>2642966.9</v>
      </c>
      <c r="J42" s="68"/>
      <c r="K42" s="51">
        <f>K38+K40</f>
        <v>3750601.6600000015</v>
      </c>
      <c r="L42" s="40">
        <f>I42-K42</f>
        <v>-1107634.7600000016</v>
      </c>
    </row>
    <row r="43" spans="1:13" x14ac:dyDescent="0.3">
      <c r="A43" s="39"/>
      <c r="B43" s="40"/>
      <c r="C43" s="40"/>
      <c r="D43" s="40"/>
      <c r="E43" s="40"/>
      <c r="F43" s="40"/>
      <c r="G43" s="40"/>
      <c r="H43" s="40"/>
      <c r="I43" s="40"/>
      <c r="J43" s="68"/>
    </row>
    <row r="44" spans="1:13" x14ac:dyDescent="0.3">
      <c r="A44" s="39" t="s">
        <v>181</v>
      </c>
      <c r="B44" s="34">
        <f>B38/I38</f>
        <v>0.43006811017265856</v>
      </c>
      <c r="C44" s="34">
        <f>C38/I38</f>
        <v>0.24559478380346575</v>
      </c>
      <c r="D44" s="34">
        <f>D38/I38</f>
        <v>6.7353144924688626E-3</v>
      </c>
      <c r="E44" s="34">
        <f>SUM(B44:D44)</f>
        <v>0.68239820846859323</v>
      </c>
      <c r="F44" s="34">
        <f>F38/I38</f>
        <v>5.1563066656995699E-2</v>
      </c>
      <c r="G44" s="34">
        <f>G38/I38</f>
        <v>0.26603834651188907</v>
      </c>
      <c r="H44" s="34">
        <f>F44+G44</f>
        <v>0.31760141316888479</v>
      </c>
      <c r="I44" s="34">
        <f>E44+H44</f>
        <v>0.99999962163747802</v>
      </c>
      <c r="J44" s="68"/>
    </row>
    <row r="46" spans="1:13" x14ac:dyDescent="0.3">
      <c r="A46" s="39" t="s">
        <v>182</v>
      </c>
      <c r="B46" s="34">
        <v>0.47</v>
      </c>
      <c r="C46" s="34">
        <v>0.28000000000000003</v>
      </c>
      <c r="D46" s="142"/>
      <c r="E46" s="34">
        <f>SUM(B46:D46)</f>
        <v>0.75</v>
      </c>
      <c r="F46" s="34">
        <v>0.06</v>
      </c>
      <c r="G46" s="34">
        <v>0.17</v>
      </c>
      <c r="H46" s="34">
        <f>SUM(F46:G46)</f>
        <v>0.23</v>
      </c>
      <c r="I46" s="34">
        <f>E46+H46</f>
        <v>0.98</v>
      </c>
      <c r="M46" s="157" t="s">
        <v>200</v>
      </c>
    </row>
  </sheetData>
  <mergeCells count="6">
    <mergeCell ref="B1:I1"/>
    <mergeCell ref="B2:I2"/>
    <mergeCell ref="B3:I3"/>
    <mergeCell ref="B4:I4"/>
    <mergeCell ref="B5:E5"/>
    <mergeCell ref="F5:H5"/>
  </mergeCells>
  <pageMargins left="0.25" right="0.25" top="0.75" bottom="0.75" header="0.3" footer="0.3"/>
  <pageSetup scale="57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77A6-40C9-4D9E-9A79-7CAB5FD50822}">
  <sheetPr>
    <pageSetUpPr fitToPage="1"/>
  </sheetPr>
  <dimension ref="A1:O47"/>
  <sheetViews>
    <sheetView tabSelected="1" topLeftCell="A20" zoomScale="90" zoomScaleNormal="90" workbookViewId="0">
      <selection activeCell="I45" sqref="I45"/>
    </sheetView>
  </sheetViews>
  <sheetFormatPr defaultRowHeight="16.5" x14ac:dyDescent="0.3"/>
  <cols>
    <col min="1" max="1" width="33.85546875" style="78" bestFit="1" customWidth="1"/>
    <col min="2" max="2" width="23.42578125" style="78" customWidth="1"/>
    <col min="3" max="3" width="14.5703125" style="78" bestFit="1" customWidth="1"/>
    <col min="4" max="4" width="12.7109375" style="78" bestFit="1" customWidth="1"/>
    <col min="5" max="5" width="12.28515625" style="78" bestFit="1" customWidth="1"/>
    <col min="6" max="6" width="13.5703125" style="78" bestFit="1" customWidth="1"/>
    <col min="7" max="7" width="14.42578125" style="78" customWidth="1"/>
    <col min="8" max="8" width="15.28515625" style="79" bestFit="1" customWidth="1"/>
    <col min="9" max="9" width="51.42578125" style="80" customWidth="1"/>
    <col min="10" max="10" width="12.42578125" style="78" bestFit="1" customWidth="1"/>
    <col min="11" max="11" width="13.140625" style="78" customWidth="1"/>
    <col min="12" max="14" width="9.140625" style="78"/>
    <col min="15" max="15" width="27.5703125" style="80" customWidth="1"/>
    <col min="16" max="16384" width="9.140625" style="78"/>
  </cols>
  <sheetData>
    <row r="1" spans="1:11" ht="19.899999999999999" customHeight="1" x14ac:dyDescent="0.3">
      <c r="A1" s="173" t="s">
        <v>0</v>
      </c>
      <c r="B1" s="173"/>
      <c r="C1" s="173"/>
      <c r="D1" s="173"/>
      <c r="E1" s="173"/>
      <c r="F1" s="173"/>
      <c r="G1" s="173"/>
    </row>
    <row r="2" spans="1:11" ht="19.899999999999999" customHeight="1" x14ac:dyDescent="0.3">
      <c r="A2" s="173" t="s">
        <v>78</v>
      </c>
      <c r="B2" s="173"/>
      <c r="C2" s="173"/>
      <c r="D2" s="173"/>
      <c r="E2" s="173"/>
      <c r="F2" s="173"/>
      <c r="G2" s="173"/>
    </row>
    <row r="3" spans="1:11" ht="21" customHeight="1" x14ac:dyDescent="0.3">
      <c r="A3" s="174">
        <v>46112</v>
      </c>
      <c r="B3" s="174"/>
      <c r="C3" s="174"/>
      <c r="D3" s="174"/>
      <c r="E3" s="174"/>
      <c r="F3" s="174"/>
      <c r="G3" s="174"/>
    </row>
    <row r="4" spans="1:11" ht="50.25" customHeight="1" x14ac:dyDescent="0.3">
      <c r="A4" s="175"/>
      <c r="B4" s="175"/>
      <c r="C4" s="81" t="s">
        <v>139</v>
      </c>
      <c r="D4" s="82" t="s">
        <v>79</v>
      </c>
      <c r="E4" s="81" t="s">
        <v>136</v>
      </c>
      <c r="F4" s="82" t="s">
        <v>111</v>
      </c>
      <c r="G4" s="81" t="s">
        <v>201</v>
      </c>
    </row>
    <row r="5" spans="1:11" ht="15.75" customHeight="1" x14ac:dyDescent="0.3">
      <c r="A5" s="172" t="s">
        <v>80</v>
      </c>
      <c r="B5" s="172"/>
      <c r="C5" s="104">
        <v>4378979</v>
      </c>
      <c r="D5" s="104"/>
      <c r="E5" s="104">
        <f>36304+2438.33</f>
        <v>38742.33</v>
      </c>
      <c r="F5" s="104"/>
      <c r="G5" s="104">
        <f>C5+D5+E5+F5</f>
        <v>4417721.33</v>
      </c>
      <c r="J5" s="84"/>
      <c r="K5" s="84"/>
    </row>
    <row r="6" spans="1:11" ht="15.75" customHeight="1" x14ac:dyDescent="0.3">
      <c r="A6" s="172" t="s">
        <v>81</v>
      </c>
      <c r="B6" s="172"/>
      <c r="C6" s="104">
        <v>6350</v>
      </c>
      <c r="D6" s="104"/>
      <c r="E6" s="104"/>
      <c r="F6" s="104"/>
      <c r="G6" s="104">
        <f>C6+D6+E6+F6</f>
        <v>6350</v>
      </c>
      <c r="K6" s="84"/>
    </row>
    <row r="7" spans="1:11" ht="15.75" customHeight="1" x14ac:dyDescent="0.3">
      <c r="A7" s="83"/>
      <c r="B7" s="83"/>
      <c r="C7" s="104"/>
      <c r="D7" s="104"/>
      <c r="E7" s="104"/>
      <c r="F7" s="104"/>
      <c r="G7" s="104"/>
      <c r="K7" s="84"/>
    </row>
    <row r="8" spans="1:11" ht="15.75" customHeight="1" x14ac:dyDescent="0.3">
      <c r="A8" s="77" t="s">
        <v>103</v>
      </c>
      <c r="B8" s="83"/>
      <c r="C8" s="104"/>
      <c r="D8" s="104"/>
      <c r="E8" s="104"/>
      <c r="F8" s="104"/>
      <c r="G8" s="104"/>
      <c r="K8" s="84"/>
    </row>
    <row r="9" spans="1:11" ht="15.75" customHeight="1" x14ac:dyDescent="0.3">
      <c r="A9" s="83" t="s">
        <v>118</v>
      </c>
      <c r="B9" s="83"/>
      <c r="C9" s="104">
        <v>0</v>
      </c>
      <c r="D9" s="105">
        <v>88518</v>
      </c>
      <c r="E9" s="105">
        <v>-88000</v>
      </c>
      <c r="F9" s="104">
        <v>-18</v>
      </c>
      <c r="G9" s="107">
        <f>C9+D9+E9+F9</f>
        <v>500</v>
      </c>
      <c r="K9" s="84"/>
    </row>
    <row r="10" spans="1:11" ht="15.75" customHeight="1" x14ac:dyDescent="0.3">
      <c r="A10" s="172" t="s">
        <v>82</v>
      </c>
      <c r="B10" s="172"/>
      <c r="C10" s="104">
        <v>8000</v>
      </c>
      <c r="D10" s="104">
        <v>532722</v>
      </c>
      <c r="E10" s="104"/>
      <c r="F10" s="104">
        <v>-439933</v>
      </c>
      <c r="G10" s="104">
        <f t="shared" ref="G10:G25" si="0">C10+D10+E10+F10</f>
        <v>100789</v>
      </c>
      <c r="K10" s="84"/>
    </row>
    <row r="11" spans="1:11" ht="15.75" customHeight="1" x14ac:dyDescent="0.3">
      <c r="A11" s="172" t="s">
        <v>83</v>
      </c>
      <c r="B11" s="172"/>
      <c r="C11" s="104">
        <v>1519196</v>
      </c>
      <c r="D11" s="104"/>
      <c r="E11" s="104"/>
      <c r="F11" s="104"/>
      <c r="G11" s="104">
        <f t="shared" si="0"/>
        <v>1519196</v>
      </c>
      <c r="I11" s="158" t="s">
        <v>198</v>
      </c>
      <c r="K11" s="84"/>
    </row>
    <row r="12" spans="1:11" ht="15.75" customHeight="1" x14ac:dyDescent="0.3">
      <c r="A12" s="172" t="s">
        <v>84</v>
      </c>
      <c r="B12" s="172"/>
      <c r="C12" s="104">
        <v>29659</v>
      </c>
      <c r="D12" s="104">
        <v>31000</v>
      </c>
      <c r="E12" s="104"/>
      <c r="F12" s="104">
        <f>-7748-500</f>
        <v>-8248</v>
      </c>
      <c r="G12" s="104">
        <f t="shared" si="0"/>
        <v>52411</v>
      </c>
      <c r="K12" s="84"/>
    </row>
    <row r="13" spans="1:11" ht="15.75" customHeight="1" x14ac:dyDescent="0.3">
      <c r="A13" s="172" t="s">
        <v>85</v>
      </c>
      <c r="B13" s="172"/>
      <c r="C13" s="104">
        <v>0</v>
      </c>
      <c r="D13" s="106"/>
      <c r="E13" s="106"/>
      <c r="F13" s="104"/>
      <c r="G13" s="104">
        <f t="shared" si="0"/>
        <v>0</v>
      </c>
      <c r="K13" s="84"/>
    </row>
    <row r="14" spans="1:11" ht="15.75" customHeight="1" x14ac:dyDescent="0.3">
      <c r="A14" s="83" t="s">
        <v>120</v>
      </c>
      <c r="B14" s="83"/>
      <c r="C14" s="104">
        <v>0</v>
      </c>
      <c r="D14" s="104">
        <v>121450</v>
      </c>
      <c r="E14" s="104">
        <v>88000</v>
      </c>
      <c r="F14" s="104">
        <v>-209450</v>
      </c>
      <c r="G14" s="104">
        <f t="shared" si="0"/>
        <v>0</v>
      </c>
      <c r="K14" s="84"/>
    </row>
    <row r="15" spans="1:11" ht="15.75" customHeight="1" x14ac:dyDescent="0.3">
      <c r="A15" s="172" t="s">
        <v>86</v>
      </c>
      <c r="B15" s="172"/>
      <c r="C15" s="104">
        <v>137336</v>
      </c>
      <c r="D15" s="104">
        <v>10000</v>
      </c>
      <c r="E15" s="104"/>
      <c r="F15" s="104"/>
      <c r="G15" s="104">
        <f t="shared" si="0"/>
        <v>147336</v>
      </c>
      <c r="K15" s="84"/>
    </row>
    <row r="16" spans="1:11" ht="15.75" customHeight="1" x14ac:dyDescent="0.3">
      <c r="A16" s="172" t="s">
        <v>87</v>
      </c>
      <c r="B16" s="172"/>
      <c r="C16" s="104">
        <v>0</v>
      </c>
      <c r="D16" s="104">
        <v>40000</v>
      </c>
      <c r="E16" s="104"/>
      <c r="F16" s="104">
        <v>-40000</v>
      </c>
      <c r="G16" s="104">
        <f t="shared" si="0"/>
        <v>0</v>
      </c>
      <c r="K16" s="84"/>
    </row>
    <row r="17" spans="1:11" ht="15.75" customHeight="1" x14ac:dyDescent="0.3">
      <c r="A17" s="83" t="s">
        <v>117</v>
      </c>
      <c r="B17" s="83"/>
      <c r="C17" s="104">
        <v>0</v>
      </c>
      <c r="D17" s="104"/>
      <c r="E17" s="104"/>
      <c r="F17" s="104"/>
      <c r="G17" s="104">
        <f t="shared" si="0"/>
        <v>0</v>
      </c>
      <c r="K17" s="84"/>
    </row>
    <row r="18" spans="1:11" ht="15.75" customHeight="1" x14ac:dyDescent="0.3">
      <c r="A18" s="172" t="s">
        <v>88</v>
      </c>
      <c r="B18" s="172"/>
      <c r="C18" s="104">
        <v>25156</v>
      </c>
      <c r="D18" s="104"/>
      <c r="E18" s="104"/>
      <c r="F18" s="104"/>
      <c r="G18" s="104">
        <f t="shared" si="0"/>
        <v>25156</v>
      </c>
      <c r="K18" s="84"/>
    </row>
    <row r="19" spans="1:11" ht="15.75" customHeight="1" x14ac:dyDescent="0.3">
      <c r="A19" s="172" t="s">
        <v>89</v>
      </c>
      <c r="B19" s="172"/>
      <c r="C19" s="104">
        <v>5529</v>
      </c>
      <c r="D19" s="104"/>
      <c r="E19" s="104"/>
      <c r="F19" s="104"/>
      <c r="G19" s="104">
        <f t="shared" si="0"/>
        <v>5529</v>
      </c>
      <c r="K19" s="84"/>
    </row>
    <row r="20" spans="1:11" ht="15.75" customHeight="1" x14ac:dyDescent="0.3">
      <c r="A20" s="172" t="s">
        <v>90</v>
      </c>
      <c r="B20" s="172"/>
      <c r="C20" s="104">
        <v>12067</v>
      </c>
      <c r="D20" s="104">
        <v>1000</v>
      </c>
      <c r="E20" s="104"/>
      <c r="F20" s="104">
        <v>-4000</v>
      </c>
      <c r="G20" s="104">
        <f t="shared" si="0"/>
        <v>9067</v>
      </c>
      <c r="K20" s="84"/>
    </row>
    <row r="21" spans="1:11" ht="15.75" customHeight="1" x14ac:dyDescent="0.3">
      <c r="A21" s="172" t="s">
        <v>91</v>
      </c>
      <c r="B21" s="172"/>
      <c r="C21" s="104">
        <v>0</v>
      </c>
      <c r="D21" s="104">
        <v>15912</v>
      </c>
      <c r="E21" s="104"/>
      <c r="F21" s="104">
        <v>-15251</v>
      </c>
      <c r="G21" s="104">
        <f t="shared" si="0"/>
        <v>661</v>
      </c>
      <c r="K21" s="84"/>
    </row>
    <row r="22" spans="1:11" ht="15.75" customHeight="1" x14ac:dyDescent="0.3">
      <c r="A22" s="172" t="s">
        <v>92</v>
      </c>
      <c r="B22" s="172"/>
      <c r="C22" s="104">
        <v>25517</v>
      </c>
      <c r="D22" s="104"/>
      <c r="E22" s="104"/>
      <c r="F22" s="104">
        <v>-14210</v>
      </c>
      <c r="G22" s="104">
        <f t="shared" si="0"/>
        <v>11307</v>
      </c>
      <c r="K22" s="84"/>
    </row>
    <row r="23" spans="1:11" ht="15.75" customHeight="1" x14ac:dyDescent="0.3">
      <c r="A23" s="172" t="s">
        <v>137</v>
      </c>
      <c r="B23" s="172"/>
      <c r="C23" s="104">
        <v>0</v>
      </c>
      <c r="D23" s="104"/>
      <c r="E23" s="104"/>
      <c r="F23" s="104"/>
      <c r="G23" s="104">
        <f t="shared" si="0"/>
        <v>0</v>
      </c>
      <c r="K23" s="84"/>
    </row>
    <row r="24" spans="1:11" ht="15.75" customHeight="1" x14ac:dyDescent="0.3">
      <c r="A24" s="172" t="s">
        <v>178</v>
      </c>
      <c r="B24" s="172"/>
      <c r="C24" s="104">
        <v>3000</v>
      </c>
      <c r="D24" s="104"/>
      <c r="E24" s="104"/>
      <c r="F24" s="104">
        <v>-1000</v>
      </c>
      <c r="G24" s="104">
        <f t="shared" si="0"/>
        <v>2000</v>
      </c>
      <c r="K24" s="84"/>
    </row>
    <row r="25" spans="1:11" x14ac:dyDescent="0.3">
      <c r="A25" s="83" t="s">
        <v>125</v>
      </c>
      <c r="B25" s="83"/>
      <c r="C25" s="104">
        <v>97</v>
      </c>
      <c r="D25" s="104">
        <v>91663</v>
      </c>
      <c r="E25" s="104">
        <f>-36304-2438.33</f>
        <v>-38742.33</v>
      </c>
      <c r="F25" s="104">
        <v>-18</v>
      </c>
      <c r="G25" s="104">
        <f t="shared" si="0"/>
        <v>52999.67</v>
      </c>
      <c r="H25" s="146" t="s">
        <v>176</v>
      </c>
      <c r="I25" s="79"/>
      <c r="K25" s="84"/>
    </row>
    <row r="26" spans="1:11" ht="15.75" customHeight="1" x14ac:dyDescent="0.3">
      <c r="A26" s="83"/>
      <c r="B26" s="83"/>
      <c r="C26" s="104"/>
      <c r="D26" s="104"/>
      <c r="E26" s="104"/>
      <c r="F26" s="104"/>
      <c r="G26" s="104"/>
      <c r="K26" s="84"/>
    </row>
    <row r="27" spans="1:11" ht="15.75" customHeight="1" x14ac:dyDescent="0.3">
      <c r="A27" s="121" t="s">
        <v>172</v>
      </c>
      <c r="B27" s="122"/>
      <c r="C27" s="119"/>
      <c r="D27" s="119"/>
      <c r="E27" s="119"/>
      <c r="F27" s="119"/>
      <c r="G27" s="119"/>
      <c r="H27" s="123"/>
      <c r="I27" s="124"/>
      <c r="J27" s="125"/>
      <c r="K27" s="84"/>
    </row>
    <row r="28" spans="1:11" ht="15.75" customHeight="1" x14ac:dyDescent="0.3">
      <c r="A28" s="83" t="s">
        <v>121</v>
      </c>
      <c r="B28" s="83"/>
      <c r="C28" s="104">
        <v>0</v>
      </c>
      <c r="D28" s="104">
        <v>8283</v>
      </c>
      <c r="E28" s="104"/>
      <c r="F28" s="105">
        <v>-5317</v>
      </c>
      <c r="G28" s="104">
        <f>C28+D28+E28+F28</f>
        <v>2966</v>
      </c>
      <c r="K28" s="84"/>
    </row>
    <row r="29" spans="1:11" ht="15.75" customHeight="1" x14ac:dyDescent="0.3">
      <c r="A29" s="172" t="s">
        <v>102</v>
      </c>
      <c r="B29" s="172"/>
      <c r="C29" s="104">
        <v>0</v>
      </c>
      <c r="D29" s="104"/>
      <c r="E29" s="104"/>
      <c r="F29" s="104"/>
      <c r="G29" s="104">
        <f t="shared" ref="G29:G40" si="1">C29+D29+E29+F29</f>
        <v>0</v>
      </c>
      <c r="K29" s="84"/>
    </row>
    <row r="30" spans="1:11" ht="15.75" customHeight="1" x14ac:dyDescent="0.3">
      <c r="A30" s="172" t="s">
        <v>93</v>
      </c>
      <c r="B30" s="172"/>
      <c r="C30" s="104">
        <v>11073</v>
      </c>
      <c r="D30" s="104">
        <v>90435</v>
      </c>
      <c r="E30" s="104"/>
      <c r="F30" s="104">
        <v>-101508</v>
      </c>
      <c r="G30" s="104">
        <f t="shared" si="1"/>
        <v>0</v>
      </c>
      <c r="K30" s="84"/>
    </row>
    <row r="31" spans="1:11" ht="15.75" customHeight="1" x14ac:dyDescent="0.3">
      <c r="A31" s="172" t="s">
        <v>94</v>
      </c>
      <c r="B31" s="172"/>
      <c r="C31" s="104">
        <v>6805</v>
      </c>
      <c r="D31" s="104">
        <v>13871</v>
      </c>
      <c r="E31" s="104"/>
      <c r="F31" s="104">
        <v>-16676</v>
      </c>
      <c r="G31" s="104">
        <f t="shared" si="1"/>
        <v>4000</v>
      </c>
      <c r="K31" s="84"/>
    </row>
    <row r="32" spans="1:11" ht="15.75" customHeight="1" x14ac:dyDescent="0.3">
      <c r="A32" s="172" t="s">
        <v>95</v>
      </c>
      <c r="B32" s="172"/>
      <c r="C32" s="104">
        <v>7648</v>
      </c>
      <c r="D32" s="104">
        <v>23151</v>
      </c>
      <c r="E32" s="104"/>
      <c r="F32" s="107">
        <v>-22432</v>
      </c>
      <c r="G32" s="104">
        <f t="shared" si="1"/>
        <v>8367</v>
      </c>
      <c r="K32" s="84"/>
    </row>
    <row r="33" spans="1:15" ht="15.75" customHeight="1" x14ac:dyDescent="0.3">
      <c r="A33" s="172" t="s">
        <v>96</v>
      </c>
      <c r="B33" s="172"/>
      <c r="C33" s="104">
        <v>0</v>
      </c>
      <c r="D33" s="104"/>
      <c r="E33" s="104"/>
      <c r="F33" s="104"/>
      <c r="G33" s="104">
        <f t="shared" si="1"/>
        <v>0</v>
      </c>
      <c r="K33" s="84"/>
    </row>
    <row r="34" spans="1:15" ht="15.75" customHeight="1" x14ac:dyDescent="0.3">
      <c r="A34" s="172" t="s">
        <v>97</v>
      </c>
      <c r="B34" s="172"/>
      <c r="C34" s="104">
        <v>0</v>
      </c>
      <c r="D34" s="104"/>
      <c r="E34" s="104"/>
      <c r="F34" s="104"/>
      <c r="G34" s="104">
        <f t="shared" si="1"/>
        <v>0</v>
      </c>
      <c r="K34" s="84"/>
    </row>
    <row r="35" spans="1:15" ht="15.75" customHeight="1" x14ac:dyDescent="0.3">
      <c r="A35" s="172" t="s">
        <v>98</v>
      </c>
      <c r="B35" s="172"/>
      <c r="C35" s="104">
        <v>5296</v>
      </c>
      <c r="D35" s="104"/>
      <c r="E35" s="104"/>
      <c r="F35" s="104">
        <v>-2326</v>
      </c>
      <c r="G35" s="104">
        <f t="shared" si="1"/>
        <v>2970</v>
      </c>
      <c r="K35" s="84"/>
    </row>
    <row r="36" spans="1:15" ht="15.75" customHeight="1" x14ac:dyDescent="0.3">
      <c r="A36" s="172" t="s">
        <v>99</v>
      </c>
      <c r="B36" s="172"/>
      <c r="C36" s="104">
        <v>10256</v>
      </c>
      <c r="D36" s="104">
        <v>3575</v>
      </c>
      <c r="E36" s="104"/>
      <c r="F36" s="104">
        <v>-753</v>
      </c>
      <c r="G36" s="104">
        <f t="shared" si="1"/>
        <v>13078</v>
      </c>
      <c r="K36" s="84"/>
    </row>
    <row r="37" spans="1:15" ht="15.75" customHeight="1" x14ac:dyDescent="0.3">
      <c r="A37" s="83" t="s">
        <v>163</v>
      </c>
      <c r="B37" s="83"/>
      <c r="C37" s="104">
        <v>0</v>
      </c>
      <c r="D37" s="104">
        <v>25000</v>
      </c>
      <c r="E37" s="104"/>
      <c r="F37" s="104">
        <v>-25000</v>
      </c>
      <c r="G37" s="104">
        <f t="shared" si="1"/>
        <v>0</v>
      </c>
      <c r="K37" s="84"/>
    </row>
    <row r="38" spans="1:15" ht="15.75" customHeight="1" x14ac:dyDescent="0.3">
      <c r="A38" s="172" t="s">
        <v>100</v>
      </c>
      <c r="B38" s="172"/>
      <c r="C38" s="104">
        <v>0</v>
      </c>
      <c r="D38" s="104">
        <v>30000</v>
      </c>
      <c r="E38" s="104"/>
      <c r="F38" s="104">
        <v>-30000</v>
      </c>
      <c r="G38" s="104">
        <f t="shared" si="1"/>
        <v>0</v>
      </c>
      <c r="K38" s="84"/>
    </row>
    <row r="39" spans="1:15" ht="15.75" customHeight="1" x14ac:dyDescent="0.3">
      <c r="A39" s="172" t="s">
        <v>145</v>
      </c>
      <c r="B39" s="172"/>
      <c r="C39" s="104">
        <v>1304</v>
      </c>
      <c r="D39" s="104"/>
      <c r="E39" s="104"/>
      <c r="F39" s="104">
        <v>-1304</v>
      </c>
      <c r="G39" s="104">
        <f t="shared" si="1"/>
        <v>0</v>
      </c>
      <c r="K39" s="84"/>
    </row>
    <row r="40" spans="1:15" ht="15.75" customHeight="1" x14ac:dyDescent="0.3">
      <c r="A40" s="172" t="s">
        <v>101</v>
      </c>
      <c r="B40" s="172"/>
      <c r="C40" s="108">
        <v>3590</v>
      </c>
      <c r="D40" s="108"/>
      <c r="E40" s="108"/>
      <c r="F40" s="108">
        <v>-2500</v>
      </c>
      <c r="G40" s="108">
        <f t="shared" si="1"/>
        <v>1090</v>
      </c>
      <c r="K40" s="84"/>
    </row>
    <row r="41" spans="1:15" ht="15.75" hidden="1" customHeight="1" x14ac:dyDescent="0.3">
      <c r="A41" s="172" t="s">
        <v>128</v>
      </c>
      <c r="B41" s="172"/>
      <c r="C41" s="108">
        <v>225</v>
      </c>
      <c r="D41" s="108"/>
      <c r="E41" s="108"/>
      <c r="F41" s="108"/>
      <c r="G41" s="108">
        <v>0</v>
      </c>
      <c r="K41" s="84"/>
    </row>
    <row r="42" spans="1:15" s="85" customFormat="1" ht="15.75" customHeight="1" x14ac:dyDescent="0.3">
      <c r="A42" s="173" t="s">
        <v>73</v>
      </c>
      <c r="B42" s="173"/>
      <c r="C42" s="109">
        <f t="shared" ref="C42:F42" si="2">SUM(C5:C41)</f>
        <v>6197083</v>
      </c>
      <c r="D42" s="109">
        <f t="shared" si="2"/>
        <v>1126580</v>
      </c>
      <c r="E42" s="180">
        <f t="shared" si="2"/>
        <v>0</v>
      </c>
      <c r="F42" s="109">
        <f t="shared" si="2"/>
        <v>-939944</v>
      </c>
      <c r="G42" s="109">
        <f>SUM(G5:G41)</f>
        <v>6383494</v>
      </c>
      <c r="H42" s="86"/>
      <c r="I42" s="87"/>
      <c r="K42" s="84"/>
      <c r="O42" s="87"/>
    </row>
    <row r="43" spans="1:15" ht="13.35" customHeight="1" x14ac:dyDescent="0.3">
      <c r="C43" s="106"/>
      <c r="D43" s="106"/>
      <c r="E43" s="106"/>
      <c r="F43" s="106"/>
      <c r="G43" s="106"/>
    </row>
    <row r="44" spans="1:15" x14ac:dyDescent="0.3">
      <c r="C44" s="106"/>
      <c r="D44" s="106"/>
      <c r="E44" s="106"/>
      <c r="F44" s="106"/>
      <c r="G44" s="106"/>
    </row>
    <row r="45" spans="1:15" x14ac:dyDescent="0.3">
      <c r="G45" s="84"/>
    </row>
    <row r="46" spans="1:15" x14ac:dyDescent="0.3">
      <c r="D46" s="84"/>
      <c r="E46" s="84"/>
      <c r="F46" s="84"/>
    </row>
    <row r="47" spans="1:15" x14ac:dyDescent="0.3">
      <c r="C47" s="84"/>
      <c r="D47" s="84"/>
      <c r="E47" s="84"/>
      <c r="F47" s="84"/>
    </row>
  </sheetData>
  <mergeCells count="32">
    <mergeCell ref="A42:B42"/>
    <mergeCell ref="A34:B34"/>
    <mergeCell ref="A35:B35"/>
    <mergeCell ref="A36:B36"/>
    <mergeCell ref="A38:B38"/>
    <mergeCell ref="A39:B39"/>
    <mergeCell ref="A40:B40"/>
    <mergeCell ref="A41:B41"/>
    <mergeCell ref="A33:B33"/>
    <mergeCell ref="A18:B18"/>
    <mergeCell ref="A19:B19"/>
    <mergeCell ref="A20:B20"/>
    <mergeCell ref="A21:B21"/>
    <mergeCell ref="A22:B22"/>
    <mergeCell ref="A23:B23"/>
    <mergeCell ref="A24:B24"/>
    <mergeCell ref="A29:B29"/>
    <mergeCell ref="A30:B30"/>
    <mergeCell ref="A31:B31"/>
    <mergeCell ref="A32:B32"/>
    <mergeCell ref="A16:B16"/>
    <mergeCell ref="A1:G1"/>
    <mergeCell ref="A2:G2"/>
    <mergeCell ref="A3:G3"/>
    <mergeCell ref="A4:B4"/>
    <mergeCell ref="A5:B5"/>
    <mergeCell ref="A6:B6"/>
    <mergeCell ref="A10:B10"/>
    <mergeCell ref="A11:B11"/>
    <mergeCell ref="A12:B12"/>
    <mergeCell ref="A13:B13"/>
    <mergeCell ref="A15:B15"/>
  </mergeCells>
  <pageMargins left="0.25" right="0.25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A3E49-0B18-4BEA-8592-173223E937D3}">
  <sheetPr>
    <pageSetUpPr fitToPage="1"/>
  </sheetPr>
  <dimension ref="A1:O52"/>
  <sheetViews>
    <sheetView zoomScaleNormal="100" workbookViewId="0">
      <selection activeCell="C51" sqref="C51"/>
    </sheetView>
  </sheetViews>
  <sheetFormatPr defaultRowHeight="16.5" x14ac:dyDescent="0.3"/>
  <cols>
    <col min="1" max="1" width="22.140625" style="1" customWidth="1"/>
    <col min="2" max="2" width="28.85546875" style="1" customWidth="1"/>
    <col min="3" max="3" width="22.42578125" style="1" customWidth="1"/>
    <col min="4" max="4" width="17.85546875" style="1" customWidth="1"/>
    <col min="5" max="5" width="14.85546875" style="1" customWidth="1"/>
    <col min="6" max="6" width="2.85546875" style="1" customWidth="1"/>
    <col min="7" max="7" width="14.7109375" style="1" customWidth="1"/>
    <col min="8" max="8" width="36.85546875" style="138" customWidth="1"/>
    <col min="9" max="9" width="19.5703125" style="22" customWidth="1"/>
    <col min="10" max="10" width="12.7109375" style="1" bestFit="1" customWidth="1"/>
    <col min="11" max="11" width="10.5703125" style="1" bestFit="1" customWidth="1"/>
    <col min="12" max="13" width="9.140625" style="1"/>
    <col min="14" max="14" width="7.28515625" style="1" customWidth="1"/>
    <col min="15" max="15" width="9.140625" style="1" hidden="1" customWidth="1"/>
    <col min="16" max="16384" width="9.140625" style="1"/>
  </cols>
  <sheetData>
    <row r="1" spans="1:9" ht="19.899999999999999" customHeight="1" x14ac:dyDescent="0.3">
      <c r="A1" s="159" t="s">
        <v>0</v>
      </c>
      <c r="B1" s="159"/>
      <c r="C1" s="159"/>
      <c r="D1" s="159"/>
      <c r="E1" s="159"/>
      <c r="F1" s="10"/>
      <c r="G1" s="10"/>
      <c r="H1" s="10"/>
    </row>
    <row r="2" spans="1:9" ht="19.899999999999999" customHeight="1" x14ac:dyDescent="0.3">
      <c r="A2" s="159" t="s">
        <v>77</v>
      </c>
      <c r="B2" s="159"/>
      <c r="C2" s="159"/>
      <c r="D2" s="159"/>
      <c r="E2" s="159"/>
      <c r="F2" s="10"/>
      <c r="G2" s="10"/>
      <c r="H2" s="10"/>
    </row>
    <row r="3" spans="1:9" ht="16.899999999999999" customHeight="1" x14ac:dyDescent="0.3">
      <c r="A3" s="159" t="s">
        <v>191</v>
      </c>
      <c r="B3" s="159"/>
      <c r="C3" s="159"/>
      <c r="D3" s="159"/>
      <c r="E3" s="159"/>
      <c r="F3" s="10"/>
      <c r="G3" s="10"/>
      <c r="H3" s="10"/>
      <c r="I3" s="41"/>
    </row>
    <row r="4" spans="1:9" ht="15.75" customHeight="1" x14ac:dyDescent="0.3">
      <c r="A4" s="160"/>
      <c r="B4" s="160"/>
      <c r="C4" s="160"/>
      <c r="D4" s="160"/>
      <c r="E4" s="160"/>
      <c r="F4" s="52"/>
      <c r="G4" s="52"/>
      <c r="H4" s="133"/>
    </row>
    <row r="5" spans="1:9" ht="57.75" customHeight="1" x14ac:dyDescent="0.3">
      <c r="A5" s="161"/>
      <c r="B5" s="161"/>
      <c r="C5" s="24" t="s">
        <v>192</v>
      </c>
      <c r="D5" s="24" t="s">
        <v>193</v>
      </c>
      <c r="E5" s="24" t="s">
        <v>128</v>
      </c>
      <c r="F5" s="92"/>
      <c r="G5" s="91" t="s">
        <v>150</v>
      </c>
      <c r="H5" s="134"/>
      <c r="I5" s="1"/>
    </row>
    <row r="6" spans="1:9" ht="15.75" customHeight="1" x14ac:dyDescent="0.3">
      <c r="A6" s="162" t="s">
        <v>37</v>
      </c>
      <c r="B6" s="162"/>
      <c r="H6" s="135"/>
      <c r="I6" s="1"/>
    </row>
    <row r="7" spans="1:9" ht="15.75" customHeight="1" x14ac:dyDescent="0.3">
      <c r="A7" s="162" t="s">
        <v>76</v>
      </c>
      <c r="B7" s="162"/>
      <c r="C7" s="5">
        <v>939403.24</v>
      </c>
      <c r="D7" s="5">
        <v>1105384</v>
      </c>
      <c r="E7" s="56">
        <f>C7-D7</f>
        <v>-165980.76</v>
      </c>
      <c r="F7" s="5"/>
      <c r="G7" s="5">
        <v>1307004</v>
      </c>
      <c r="H7" s="134" t="s">
        <v>148</v>
      </c>
      <c r="I7" s="1"/>
    </row>
    <row r="8" spans="1:9" ht="15.75" customHeight="1" x14ac:dyDescent="0.3">
      <c r="A8" s="162" t="s">
        <v>75</v>
      </c>
      <c r="B8" s="162"/>
      <c r="C8" s="5">
        <v>14091.4</v>
      </c>
      <c r="D8" s="5">
        <v>8813</v>
      </c>
      <c r="E8" s="56">
        <f t="shared" ref="E8:E10" si="0">C8-D8</f>
        <v>5278.4</v>
      </c>
      <c r="F8" s="5"/>
      <c r="G8" s="5">
        <v>11153</v>
      </c>
      <c r="H8" s="134"/>
      <c r="I8" s="1"/>
    </row>
    <row r="9" spans="1:9" ht="15.75" customHeight="1" x14ac:dyDescent="0.3">
      <c r="A9" s="162" t="s">
        <v>74</v>
      </c>
      <c r="B9" s="162"/>
      <c r="C9" s="5">
        <v>2458002.9</v>
      </c>
      <c r="D9" s="5">
        <v>1568208.3</v>
      </c>
      <c r="E9" s="56">
        <f t="shared" si="0"/>
        <v>889794.59999999986</v>
      </c>
      <c r="F9" s="5"/>
      <c r="G9" s="5">
        <v>1818409</v>
      </c>
      <c r="H9" s="156" t="s">
        <v>199</v>
      </c>
      <c r="I9" s="1"/>
    </row>
    <row r="10" spans="1:9" ht="15.75" customHeight="1" x14ac:dyDescent="0.3">
      <c r="A10" s="162" t="s">
        <v>132</v>
      </c>
      <c r="B10" s="162"/>
      <c r="C10" s="5">
        <f>180934.81+1385</f>
        <v>182319.81</v>
      </c>
      <c r="D10" s="5">
        <f>219276+7908</f>
        <v>227184</v>
      </c>
      <c r="E10" s="56">
        <f t="shared" si="0"/>
        <v>-44864.19</v>
      </c>
      <c r="F10" s="5"/>
      <c r="G10" s="5">
        <f>293526+14908</f>
        <v>308434</v>
      </c>
      <c r="H10" s="134"/>
      <c r="I10" s="1"/>
    </row>
    <row r="11" spans="1:9" ht="15.75" customHeight="1" x14ac:dyDescent="0.3">
      <c r="A11" s="162" t="s">
        <v>73</v>
      </c>
      <c r="B11" s="162"/>
      <c r="C11" s="8">
        <f>SUM(C7:C10)</f>
        <v>3593817.35</v>
      </c>
      <c r="D11" s="8">
        <f>SUM(D7:D10)</f>
        <v>2909589.3</v>
      </c>
      <c r="E11" s="103">
        <f>SUM(E7:E10)</f>
        <v>684228.04999999981</v>
      </c>
      <c r="F11" s="9"/>
      <c r="G11" s="37">
        <f>SUM(G7:G10)</f>
        <v>3445000</v>
      </c>
      <c r="H11" s="134"/>
      <c r="I11" s="38"/>
    </row>
    <row r="12" spans="1:9" ht="15.75" customHeight="1" x14ac:dyDescent="0.3">
      <c r="C12" s="7"/>
      <c r="D12" s="7"/>
      <c r="E12" s="7"/>
      <c r="F12" s="7"/>
      <c r="G12" s="7"/>
      <c r="H12" s="135"/>
      <c r="I12" s="1"/>
    </row>
    <row r="13" spans="1:9" ht="15.75" customHeight="1" x14ac:dyDescent="0.3">
      <c r="A13" s="162" t="s">
        <v>30</v>
      </c>
      <c r="B13" s="162"/>
      <c r="C13" s="7"/>
      <c r="D13" s="7"/>
      <c r="E13" s="7"/>
      <c r="F13" s="7"/>
      <c r="G13" s="7"/>
      <c r="H13" s="135"/>
      <c r="I13" s="1"/>
    </row>
    <row r="14" spans="1:9" ht="15.75" customHeight="1" x14ac:dyDescent="0.3">
      <c r="A14" s="162" t="s">
        <v>124</v>
      </c>
      <c r="B14" s="162"/>
      <c r="C14" s="5">
        <v>1432613.34</v>
      </c>
      <c r="D14" s="5">
        <v>1560470.14</v>
      </c>
      <c r="E14" s="5">
        <f>C14-D14</f>
        <v>-127856.79999999981</v>
      </c>
      <c r="F14" s="5"/>
      <c r="G14" s="5">
        <v>2067182</v>
      </c>
      <c r="H14" s="135" t="s">
        <v>122</v>
      </c>
      <c r="I14" s="1"/>
    </row>
    <row r="15" spans="1:9" ht="15.75" customHeight="1" x14ac:dyDescent="0.3">
      <c r="A15" s="162" t="s">
        <v>60</v>
      </c>
      <c r="B15" s="162"/>
      <c r="C15" s="5">
        <v>238990.12</v>
      </c>
      <c r="D15" s="5">
        <v>205332.5</v>
      </c>
      <c r="E15" s="5">
        <f t="shared" ref="E15:E43" si="1">C15-D15</f>
        <v>33657.619999999995</v>
      </c>
      <c r="F15" s="5"/>
      <c r="G15" s="5">
        <v>287708</v>
      </c>
      <c r="H15" s="135" t="s">
        <v>179</v>
      </c>
      <c r="I15" s="1"/>
    </row>
    <row r="16" spans="1:9" ht="15.75" customHeight="1" x14ac:dyDescent="0.3">
      <c r="A16" s="162" t="s">
        <v>59</v>
      </c>
      <c r="B16" s="162"/>
      <c r="C16" s="5">
        <v>66634.73</v>
      </c>
      <c r="D16" s="5">
        <v>71547</v>
      </c>
      <c r="E16" s="5">
        <f>C16-D16</f>
        <v>-4912.2700000000041</v>
      </c>
      <c r="F16" s="5"/>
      <c r="G16" s="5">
        <v>94872</v>
      </c>
      <c r="H16" s="135"/>
      <c r="I16" s="1"/>
    </row>
    <row r="17" spans="1:10" ht="26.25" x14ac:dyDescent="0.3">
      <c r="A17" s="162" t="s">
        <v>58</v>
      </c>
      <c r="B17" s="162"/>
      <c r="C17" s="5">
        <v>42709.02</v>
      </c>
      <c r="D17" s="5">
        <v>0</v>
      </c>
      <c r="E17" s="56">
        <f t="shared" si="1"/>
        <v>42709.02</v>
      </c>
      <c r="F17" s="56"/>
      <c r="G17" s="5">
        <v>120876</v>
      </c>
      <c r="H17" s="136" t="s">
        <v>151</v>
      </c>
      <c r="I17" s="1"/>
    </row>
    <row r="18" spans="1:10" x14ac:dyDescent="0.3">
      <c r="A18" s="162" t="s">
        <v>57</v>
      </c>
      <c r="B18" s="162"/>
      <c r="C18" s="5">
        <v>200698.12</v>
      </c>
      <c r="D18" s="5">
        <v>187534</v>
      </c>
      <c r="E18" s="5">
        <f t="shared" si="1"/>
        <v>13164.119999999995</v>
      </c>
      <c r="F18" s="5"/>
      <c r="G18" s="5">
        <v>212534</v>
      </c>
      <c r="H18" s="135"/>
      <c r="I18" s="1"/>
    </row>
    <row r="19" spans="1:10" ht="16.5" customHeight="1" x14ac:dyDescent="0.3">
      <c r="A19" s="3" t="s">
        <v>140</v>
      </c>
      <c r="B19" s="3"/>
      <c r="C19" s="5">
        <v>59610.400000000001</v>
      </c>
      <c r="D19" s="5">
        <v>14000</v>
      </c>
      <c r="E19" s="5">
        <f t="shared" si="1"/>
        <v>45610.400000000001</v>
      </c>
      <c r="F19" s="5"/>
      <c r="G19" s="5">
        <v>14000</v>
      </c>
      <c r="H19" s="136" t="s">
        <v>152</v>
      </c>
      <c r="I19" s="1"/>
    </row>
    <row r="20" spans="1:10" ht="15.75" customHeight="1" x14ac:dyDescent="0.3">
      <c r="A20" s="162" t="s">
        <v>56</v>
      </c>
      <c r="B20" s="162"/>
      <c r="C20" s="5">
        <v>27400.29</v>
      </c>
      <c r="D20" s="5">
        <v>19723.5</v>
      </c>
      <c r="E20" s="5">
        <f t="shared" si="1"/>
        <v>7676.7900000000009</v>
      </c>
      <c r="F20" s="5"/>
      <c r="G20" s="5">
        <v>80288.5</v>
      </c>
      <c r="H20" s="135"/>
      <c r="I20" s="1"/>
    </row>
    <row r="21" spans="1:10" ht="15.75" customHeight="1" x14ac:dyDescent="0.3">
      <c r="A21" s="162" t="s">
        <v>55</v>
      </c>
      <c r="B21" s="162"/>
      <c r="C21" s="5">
        <v>266652.68</v>
      </c>
      <c r="D21" s="5">
        <v>266118.8</v>
      </c>
      <c r="E21" s="5">
        <f t="shared" si="1"/>
        <v>533.88000000000466</v>
      </c>
      <c r="F21" s="5"/>
      <c r="G21" s="5">
        <v>341335</v>
      </c>
      <c r="H21" s="135"/>
      <c r="I21" s="1"/>
    </row>
    <row r="22" spans="1:10" ht="15.75" customHeight="1" x14ac:dyDescent="0.3">
      <c r="A22" s="162" t="s">
        <v>54</v>
      </c>
      <c r="B22" s="162"/>
      <c r="C22" s="5">
        <v>11260.95</v>
      </c>
      <c r="D22" s="5">
        <v>16990</v>
      </c>
      <c r="E22" s="5">
        <f t="shared" si="1"/>
        <v>-5729.0499999999993</v>
      </c>
      <c r="F22" s="5"/>
      <c r="G22" s="5">
        <v>27990</v>
      </c>
      <c r="H22" s="135"/>
      <c r="I22" s="1"/>
    </row>
    <row r="23" spans="1:10" ht="15.75" customHeight="1" x14ac:dyDescent="0.3">
      <c r="A23" s="162" t="s">
        <v>72</v>
      </c>
      <c r="B23" s="162"/>
      <c r="C23" s="5">
        <v>0</v>
      </c>
      <c r="D23" s="5">
        <v>2085</v>
      </c>
      <c r="E23" s="5">
        <f t="shared" si="1"/>
        <v>-2085</v>
      </c>
      <c r="F23" s="5"/>
      <c r="G23" s="5">
        <v>2085</v>
      </c>
      <c r="H23" s="135"/>
      <c r="I23" s="1"/>
    </row>
    <row r="24" spans="1:10" ht="15.75" customHeight="1" x14ac:dyDescent="0.3">
      <c r="A24" s="162" t="s">
        <v>53</v>
      </c>
      <c r="B24" s="162"/>
      <c r="C24" s="5">
        <v>126.17</v>
      </c>
      <c r="D24" s="5">
        <v>17999.990000000002</v>
      </c>
      <c r="E24" s="5">
        <f t="shared" si="1"/>
        <v>-17873.820000000003</v>
      </c>
      <c r="F24" s="5"/>
      <c r="G24" s="5">
        <v>23000</v>
      </c>
      <c r="H24" s="135" t="s">
        <v>183</v>
      </c>
      <c r="I24" s="1"/>
    </row>
    <row r="25" spans="1:10" ht="15.75" customHeight="1" x14ac:dyDescent="0.3">
      <c r="A25" s="162" t="s">
        <v>52</v>
      </c>
      <c r="B25" s="162"/>
      <c r="C25" s="5">
        <v>156.49</v>
      </c>
      <c r="D25" s="5">
        <v>100</v>
      </c>
      <c r="E25" s="5">
        <f t="shared" si="1"/>
        <v>56.490000000000009</v>
      </c>
      <c r="F25" s="5"/>
      <c r="G25" s="5">
        <v>1700</v>
      </c>
      <c r="H25" s="135"/>
      <c r="I25" s="1"/>
    </row>
    <row r="26" spans="1:10" ht="15.75" customHeight="1" x14ac:dyDescent="0.3">
      <c r="A26" s="162" t="s">
        <v>51</v>
      </c>
      <c r="B26" s="162"/>
      <c r="C26" s="5">
        <v>213.02</v>
      </c>
      <c r="D26" s="5">
        <v>5287.5</v>
      </c>
      <c r="E26" s="5">
        <f t="shared" si="1"/>
        <v>-5074.4799999999996</v>
      </c>
      <c r="F26" s="5"/>
      <c r="G26" s="5">
        <v>7050</v>
      </c>
      <c r="H26" s="135"/>
      <c r="I26" s="1"/>
    </row>
    <row r="27" spans="1:10" ht="15.75" customHeight="1" x14ac:dyDescent="0.3">
      <c r="A27" s="162" t="s">
        <v>71</v>
      </c>
      <c r="B27" s="162"/>
      <c r="C27" s="5">
        <v>5364.99</v>
      </c>
      <c r="D27" s="5">
        <v>2198</v>
      </c>
      <c r="E27" s="5">
        <f t="shared" si="1"/>
        <v>3166.99</v>
      </c>
      <c r="F27" s="5"/>
      <c r="G27" s="5">
        <v>6218</v>
      </c>
      <c r="H27" s="137"/>
      <c r="I27" s="120"/>
      <c r="J27" s="120"/>
    </row>
    <row r="28" spans="1:10" ht="15.75" customHeight="1" x14ac:dyDescent="0.3">
      <c r="A28" s="3" t="s">
        <v>113</v>
      </c>
      <c r="B28" s="3"/>
      <c r="C28" s="5">
        <v>428.97</v>
      </c>
      <c r="D28" s="5">
        <v>10089</v>
      </c>
      <c r="E28" s="5">
        <f t="shared" si="1"/>
        <v>-9660.0300000000007</v>
      </c>
      <c r="F28" s="5"/>
      <c r="G28" s="5">
        <v>12539</v>
      </c>
      <c r="H28" s="135"/>
      <c r="I28" s="1"/>
    </row>
    <row r="29" spans="1:10" ht="15.75" customHeight="1" x14ac:dyDescent="0.3">
      <c r="A29" s="162" t="s">
        <v>50</v>
      </c>
      <c r="B29" s="162"/>
      <c r="C29" s="5">
        <v>3889.33</v>
      </c>
      <c r="D29" s="5">
        <v>10951</v>
      </c>
      <c r="E29" s="5">
        <f t="shared" si="1"/>
        <v>-7061.67</v>
      </c>
      <c r="F29" s="5"/>
      <c r="G29" s="5">
        <v>17251</v>
      </c>
      <c r="H29" s="135"/>
      <c r="I29" s="1"/>
    </row>
    <row r="30" spans="1:10" ht="15.75" customHeight="1" x14ac:dyDescent="0.3">
      <c r="A30" s="162" t="s">
        <v>49</v>
      </c>
      <c r="B30" s="162"/>
      <c r="C30" s="5">
        <v>10675.56</v>
      </c>
      <c r="D30" s="5">
        <v>9862.48</v>
      </c>
      <c r="E30" s="5">
        <f t="shared" si="1"/>
        <v>813.07999999999993</v>
      </c>
      <c r="F30" s="5"/>
      <c r="G30" s="5">
        <v>13150</v>
      </c>
      <c r="H30" s="135"/>
      <c r="I30" s="1"/>
    </row>
    <row r="31" spans="1:10" ht="15.75" customHeight="1" x14ac:dyDescent="0.3">
      <c r="A31" s="162" t="s">
        <v>48</v>
      </c>
      <c r="B31" s="162"/>
      <c r="C31" s="5">
        <v>12675.75</v>
      </c>
      <c r="D31" s="5">
        <v>15787.49</v>
      </c>
      <c r="E31" s="5">
        <f t="shared" si="1"/>
        <v>-3111.74</v>
      </c>
      <c r="F31" s="5"/>
      <c r="G31" s="5">
        <v>21050</v>
      </c>
      <c r="H31" s="135"/>
      <c r="I31" s="1"/>
    </row>
    <row r="32" spans="1:10" ht="15.75" customHeight="1" x14ac:dyDescent="0.3">
      <c r="A32" s="162" t="s">
        <v>46</v>
      </c>
      <c r="B32" s="162"/>
      <c r="C32" s="5">
        <v>22299.5</v>
      </c>
      <c r="D32" s="5">
        <v>27954.73</v>
      </c>
      <c r="E32" s="5">
        <f t="shared" si="1"/>
        <v>-5655.23</v>
      </c>
      <c r="F32" s="5"/>
      <c r="G32" s="5">
        <v>37273</v>
      </c>
      <c r="H32" s="135"/>
      <c r="I32" s="1"/>
    </row>
    <row r="33" spans="1:13" ht="15.75" customHeight="1" x14ac:dyDescent="0.3">
      <c r="A33" s="162" t="s">
        <v>45</v>
      </c>
      <c r="B33" s="162"/>
      <c r="C33" s="5">
        <v>68674.36</v>
      </c>
      <c r="D33" s="5">
        <v>64833.48</v>
      </c>
      <c r="E33" s="5">
        <f t="shared" si="1"/>
        <v>3840.8799999999974</v>
      </c>
      <c r="F33" s="5"/>
      <c r="G33" s="5">
        <v>71949</v>
      </c>
      <c r="H33" s="135"/>
      <c r="I33" s="1"/>
      <c r="M33" s="38"/>
    </row>
    <row r="34" spans="1:13" ht="15.75" customHeight="1" x14ac:dyDescent="0.3">
      <c r="A34" s="162" t="s">
        <v>44</v>
      </c>
      <c r="B34" s="162"/>
      <c r="C34" s="5">
        <v>6806.52</v>
      </c>
      <c r="D34" s="5">
        <v>10814.45</v>
      </c>
      <c r="E34" s="5">
        <f t="shared" si="1"/>
        <v>-4007.9300000000003</v>
      </c>
      <c r="F34" s="5"/>
      <c r="G34" s="5">
        <v>11593</v>
      </c>
      <c r="H34" s="135"/>
      <c r="I34" s="1"/>
    </row>
    <row r="35" spans="1:13" ht="15.75" customHeight="1" x14ac:dyDescent="0.3">
      <c r="A35" s="162" t="s">
        <v>43</v>
      </c>
      <c r="B35" s="162"/>
      <c r="C35" s="5">
        <v>46321.45</v>
      </c>
      <c r="D35" s="5">
        <v>50167</v>
      </c>
      <c r="E35" s="5">
        <f t="shared" si="1"/>
        <v>-3845.5500000000029</v>
      </c>
      <c r="F35" s="5"/>
      <c r="G35" s="5">
        <v>50444</v>
      </c>
      <c r="H35" s="135"/>
      <c r="I35" s="1"/>
    </row>
    <row r="36" spans="1:13" ht="15.75" customHeight="1" x14ac:dyDescent="0.3">
      <c r="A36" s="162" t="s">
        <v>127</v>
      </c>
      <c r="B36" s="162"/>
      <c r="C36" s="5">
        <v>147.59</v>
      </c>
      <c r="D36" s="5">
        <v>70</v>
      </c>
      <c r="E36" s="5">
        <f t="shared" si="1"/>
        <v>77.59</v>
      </c>
      <c r="F36" s="5"/>
      <c r="G36" s="5">
        <v>429</v>
      </c>
      <c r="H36" s="135"/>
      <c r="I36" s="1"/>
    </row>
    <row r="37" spans="1:13" ht="15.75" customHeight="1" x14ac:dyDescent="0.3">
      <c r="A37" s="162" t="s">
        <v>42</v>
      </c>
      <c r="B37" s="162"/>
      <c r="C37" s="5">
        <v>15079.44</v>
      </c>
      <c r="D37" s="5">
        <v>16875</v>
      </c>
      <c r="E37" s="5">
        <f t="shared" si="1"/>
        <v>-1795.5599999999995</v>
      </c>
      <c r="F37" s="5"/>
      <c r="G37" s="5">
        <v>22500</v>
      </c>
      <c r="H37" s="135"/>
      <c r="I37" s="1"/>
    </row>
    <row r="38" spans="1:13" ht="15.75" customHeight="1" x14ac:dyDescent="0.3">
      <c r="A38" s="162" t="s">
        <v>41</v>
      </c>
      <c r="B38" s="162"/>
      <c r="C38" s="5">
        <v>3790.11</v>
      </c>
      <c r="D38" s="5">
        <v>3959.75</v>
      </c>
      <c r="E38" s="5">
        <f t="shared" si="1"/>
        <v>-169.63999999999987</v>
      </c>
      <c r="F38" s="5"/>
      <c r="G38" s="5">
        <v>4999</v>
      </c>
      <c r="H38" s="135"/>
      <c r="I38" s="1"/>
    </row>
    <row r="39" spans="1:13" ht="15.75" customHeight="1" x14ac:dyDescent="0.3">
      <c r="A39" s="162" t="s">
        <v>40</v>
      </c>
      <c r="B39" s="162"/>
      <c r="C39" s="5">
        <v>21587.82</v>
      </c>
      <c r="D39" s="5">
        <v>34529.75</v>
      </c>
      <c r="E39" s="5">
        <f t="shared" si="1"/>
        <v>-12941.93</v>
      </c>
      <c r="F39" s="5"/>
      <c r="G39" s="5">
        <v>41486.5</v>
      </c>
      <c r="H39" s="135"/>
      <c r="I39" s="1"/>
    </row>
    <row r="40" spans="1:13" ht="15.75" customHeight="1" x14ac:dyDescent="0.3">
      <c r="A40" s="162" t="s">
        <v>70</v>
      </c>
      <c r="B40" s="162"/>
      <c r="C40" s="5">
        <v>4165.3</v>
      </c>
      <c r="D40" s="5">
        <v>4236</v>
      </c>
      <c r="E40" s="5">
        <f t="shared" si="1"/>
        <v>-70.699999999999818</v>
      </c>
      <c r="F40" s="5"/>
      <c r="G40" s="5">
        <v>5236</v>
      </c>
      <c r="H40" s="135"/>
      <c r="I40" s="1"/>
    </row>
    <row r="41" spans="1:13" ht="15.75" customHeight="1" x14ac:dyDescent="0.3">
      <c r="A41" s="3" t="s">
        <v>123</v>
      </c>
      <c r="B41" s="3"/>
      <c r="C41" s="5">
        <v>500</v>
      </c>
      <c r="D41" s="5">
        <v>750</v>
      </c>
      <c r="E41" s="5">
        <f t="shared" si="1"/>
        <v>-250</v>
      </c>
      <c r="F41" s="5"/>
      <c r="G41" s="5">
        <v>750</v>
      </c>
      <c r="H41" s="135"/>
      <c r="I41" s="1"/>
    </row>
    <row r="42" spans="1:13" ht="15.75" customHeight="1" x14ac:dyDescent="0.3">
      <c r="A42" s="3"/>
      <c r="B42" s="3"/>
      <c r="C42" s="5">
        <v>105</v>
      </c>
      <c r="D42" s="5"/>
      <c r="E42" s="5"/>
      <c r="F42" s="5"/>
      <c r="G42" s="5"/>
      <c r="H42" s="135"/>
      <c r="I42" s="1"/>
    </row>
    <row r="43" spans="1:13" ht="15.75" customHeight="1" x14ac:dyDescent="0.3">
      <c r="A43" s="3" t="s">
        <v>116</v>
      </c>
      <c r="B43" s="3"/>
      <c r="C43" s="5">
        <v>73389.929999999993</v>
      </c>
      <c r="D43" s="5">
        <v>76884</v>
      </c>
      <c r="E43" s="5">
        <f t="shared" si="1"/>
        <v>-3494.070000000007</v>
      </c>
      <c r="F43" s="5"/>
      <c r="G43" s="5">
        <v>102512</v>
      </c>
      <c r="H43" s="135"/>
      <c r="I43" s="1"/>
      <c r="J43" s="38"/>
    </row>
    <row r="44" spans="1:13" ht="15.75" customHeight="1" x14ac:dyDescent="0.3">
      <c r="A44" s="162" t="s">
        <v>21</v>
      </c>
      <c r="B44" s="162"/>
      <c r="C44" s="97">
        <f>SUM(C14:C43)</f>
        <v>2642966.9500000007</v>
      </c>
      <c r="D44" s="97">
        <f>SUM(D14:D43)</f>
        <v>2707150.5600000005</v>
      </c>
      <c r="E44" s="97">
        <f>SUM(E14:E43)</f>
        <v>-64288.609999999833</v>
      </c>
      <c r="F44" s="97"/>
      <c r="G44" s="97">
        <f>SUM(G14:G43)</f>
        <v>3700000</v>
      </c>
      <c r="H44" s="134"/>
      <c r="I44" s="38"/>
    </row>
    <row r="45" spans="1:13" ht="15.75" customHeight="1" x14ac:dyDescent="0.3">
      <c r="C45" s="7"/>
      <c r="D45" s="7"/>
      <c r="E45" s="7"/>
      <c r="F45" s="7"/>
      <c r="G45" s="7"/>
      <c r="H45" s="135"/>
      <c r="I45" s="38"/>
    </row>
    <row r="46" spans="1:13" ht="15.75" customHeight="1" x14ac:dyDescent="0.3">
      <c r="A46" s="159" t="s">
        <v>126</v>
      </c>
      <c r="B46" s="159"/>
      <c r="C46" s="53">
        <f>C11-C44</f>
        <v>950850.39999999944</v>
      </c>
      <c r="D46" s="53">
        <f>D11-D44</f>
        <v>202438.73999999929</v>
      </c>
      <c r="E46" s="53">
        <f>C46-D46</f>
        <v>748411.66000000015</v>
      </c>
      <c r="F46" s="53"/>
      <c r="G46" s="53">
        <f>G11-G44</f>
        <v>-255000</v>
      </c>
      <c r="H46" s="135"/>
      <c r="I46" s="38"/>
    </row>
    <row r="47" spans="1:13" ht="15.75" customHeight="1" x14ac:dyDescent="0.3"/>
    <row r="48" spans="1:13" ht="15.75" customHeight="1" x14ac:dyDescent="0.3">
      <c r="A48" s="1" t="s">
        <v>171</v>
      </c>
    </row>
    <row r="49" spans="1:8" ht="15.75" customHeight="1" x14ac:dyDescent="0.3">
      <c r="A49" s="147" t="s">
        <v>189</v>
      </c>
      <c r="C49" s="114">
        <f>632042.07-3132.99</f>
        <v>628909.07999999996</v>
      </c>
      <c r="D49" s="148">
        <v>0</v>
      </c>
      <c r="E49" s="5">
        <f t="shared" ref="E49" si="2">C49-D49</f>
        <v>628909.07999999996</v>
      </c>
      <c r="F49" s="114"/>
      <c r="G49" s="148">
        <v>80000</v>
      </c>
    </row>
    <row r="51" spans="1:8" ht="17.25" thickBot="1" x14ac:dyDescent="0.35">
      <c r="A51" s="1" t="s">
        <v>164</v>
      </c>
      <c r="B51" s="5"/>
      <c r="C51" s="98">
        <f>C46+C49</f>
        <v>1579759.4799999995</v>
      </c>
      <c r="D51" s="98">
        <f t="shared" ref="D51:G51" si="3">D46+D49</f>
        <v>202438.73999999929</v>
      </c>
      <c r="E51" s="98">
        <f t="shared" si="3"/>
        <v>1377320.7400000002</v>
      </c>
      <c r="F51" s="98">
        <f t="shared" si="3"/>
        <v>0</v>
      </c>
      <c r="G51" s="98">
        <f t="shared" si="3"/>
        <v>-175000</v>
      </c>
      <c r="H51" s="5"/>
    </row>
    <row r="52" spans="1:8" ht="17.25" thickTop="1" x14ac:dyDescent="0.3">
      <c r="C52" s="38"/>
    </row>
  </sheetData>
  <mergeCells count="39">
    <mergeCell ref="A38:B38"/>
    <mergeCell ref="A39:B39"/>
    <mergeCell ref="A40:B40"/>
    <mergeCell ref="A44:B44"/>
    <mergeCell ref="A46:B46"/>
    <mergeCell ref="A37:B37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7:B7"/>
    <mergeCell ref="A8:B8"/>
    <mergeCell ref="A9:B9"/>
    <mergeCell ref="A10:B10"/>
    <mergeCell ref="A11:B11"/>
    <mergeCell ref="A6:B6"/>
    <mergeCell ref="A1:E1"/>
    <mergeCell ref="A2:E2"/>
    <mergeCell ref="A3:E3"/>
    <mergeCell ref="A4:E4"/>
    <mergeCell ref="A5:B5"/>
  </mergeCells>
  <pageMargins left="0.1" right="0.1" top="0.25" bottom="0.25" header="0.5" footer="0.5"/>
  <pageSetup scale="6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1BDD5-7DD0-4822-838D-53CECED900B2}">
  <sheetPr>
    <pageSetUpPr fitToPage="1"/>
  </sheetPr>
  <dimension ref="A1:N51"/>
  <sheetViews>
    <sheetView zoomScale="110" zoomScaleNormal="110" workbookViewId="0">
      <pane xSplit="2" ySplit="3" topLeftCell="E4" activePane="bottomRight" state="frozen"/>
      <selection activeCell="K26" sqref="K26"/>
      <selection pane="topRight" activeCell="K26" sqref="K26"/>
      <selection pane="bottomLeft" activeCell="K26" sqref="K26"/>
      <selection pane="bottomRight" activeCell="P13" sqref="P13"/>
    </sheetView>
  </sheetViews>
  <sheetFormatPr defaultRowHeight="16.5" x14ac:dyDescent="0.3"/>
  <cols>
    <col min="1" max="1" width="22.140625" style="1" customWidth="1"/>
    <col min="2" max="2" width="42.7109375" style="1" customWidth="1"/>
    <col min="3" max="3" width="14.7109375" style="1" customWidth="1"/>
    <col min="4" max="4" width="17.85546875" style="1" customWidth="1"/>
    <col min="5" max="5" width="14.85546875" style="1" customWidth="1"/>
    <col min="6" max="6" width="2.85546875" style="1" customWidth="1"/>
    <col min="7" max="7" width="14.7109375" style="1" customWidth="1"/>
    <col min="8" max="8" width="19.5703125" style="22" customWidth="1"/>
    <col min="9" max="9" width="2.28515625" style="1" customWidth="1"/>
    <col min="10" max="10" width="53.42578125" style="138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10" ht="19.899999999999999" customHeight="1" x14ac:dyDescent="0.3">
      <c r="A1" s="177" t="s">
        <v>0</v>
      </c>
      <c r="B1" s="177"/>
      <c r="C1" s="177"/>
      <c r="D1" s="177"/>
      <c r="E1" s="177"/>
      <c r="F1" s="10"/>
      <c r="G1" s="10"/>
    </row>
    <row r="2" spans="1:10" ht="19.899999999999999" customHeight="1" x14ac:dyDescent="0.3">
      <c r="A2" s="177" t="s">
        <v>149</v>
      </c>
      <c r="B2" s="177"/>
      <c r="C2" s="177"/>
      <c r="D2" s="177"/>
      <c r="E2" s="177"/>
      <c r="F2" s="10"/>
      <c r="G2" s="10"/>
    </row>
    <row r="3" spans="1:10" ht="57.75" customHeight="1" x14ac:dyDescent="0.3">
      <c r="A3" s="161"/>
      <c r="B3" s="161"/>
      <c r="C3" s="24" t="s">
        <v>192</v>
      </c>
      <c r="D3" s="24" t="s">
        <v>194</v>
      </c>
      <c r="E3" s="24" t="s">
        <v>165</v>
      </c>
      <c r="F3" s="92"/>
      <c r="G3" s="91" t="s">
        <v>150</v>
      </c>
      <c r="H3" s="91" t="s">
        <v>166</v>
      </c>
    </row>
    <row r="4" spans="1:10" x14ac:dyDescent="0.3">
      <c r="A4" s="162" t="s">
        <v>37</v>
      </c>
      <c r="B4" s="162"/>
      <c r="H4" s="1"/>
      <c r="J4" s="139"/>
    </row>
    <row r="5" spans="1:10" x14ac:dyDescent="0.3">
      <c r="A5" s="162" t="s">
        <v>76</v>
      </c>
      <c r="B5" s="162"/>
      <c r="C5" s="5">
        <v>939403.24</v>
      </c>
      <c r="D5" s="56">
        <f>75000+86000+40000</f>
        <v>201000</v>
      </c>
      <c r="E5" s="5">
        <f>C5+D5</f>
        <v>1140403.24</v>
      </c>
      <c r="F5" s="5"/>
      <c r="G5" s="5">
        <v>1307004</v>
      </c>
      <c r="H5" s="5">
        <f>E5-G5</f>
        <v>-166600.76</v>
      </c>
      <c r="J5" s="140" t="s">
        <v>153</v>
      </c>
    </row>
    <row r="6" spans="1:10" x14ac:dyDescent="0.3">
      <c r="A6" s="162" t="s">
        <v>75</v>
      </c>
      <c r="B6" s="162"/>
      <c r="C6" s="5">
        <v>14091.4</v>
      </c>
      <c r="D6" s="56">
        <v>920</v>
      </c>
      <c r="E6" s="5">
        <f t="shared" ref="E6:E8" si="0">C6+D6</f>
        <v>15011.4</v>
      </c>
      <c r="F6" s="5"/>
      <c r="G6" s="5">
        <v>11153</v>
      </c>
      <c r="H6" s="5">
        <f>E6-G6</f>
        <v>3858.3999999999996</v>
      </c>
      <c r="J6" s="140"/>
    </row>
    <row r="7" spans="1:10" x14ac:dyDescent="0.3">
      <c r="A7" s="162" t="s">
        <v>74</v>
      </c>
      <c r="B7" s="162"/>
      <c r="C7" s="5">
        <v>2458002.9</v>
      </c>
      <c r="D7" s="56">
        <f>27712+11000</f>
        <v>38712</v>
      </c>
      <c r="E7" s="5">
        <f t="shared" si="0"/>
        <v>2496714.9</v>
      </c>
      <c r="F7" s="5"/>
      <c r="G7" s="5">
        <v>1818409</v>
      </c>
      <c r="H7" s="5">
        <f>E7-G7</f>
        <v>678305.89999999991</v>
      </c>
      <c r="J7" s="140"/>
    </row>
    <row r="8" spans="1:10" x14ac:dyDescent="0.3">
      <c r="A8" s="162" t="s">
        <v>132</v>
      </c>
      <c r="B8" s="162"/>
      <c r="C8" s="5">
        <f>180935+1385</f>
        <v>182320</v>
      </c>
      <c r="D8" s="56">
        <f>68108+16000-1</f>
        <v>84107</v>
      </c>
      <c r="E8" s="5">
        <f t="shared" si="0"/>
        <v>266427</v>
      </c>
      <c r="F8" s="5"/>
      <c r="G8" s="5">
        <f>293526+14908</f>
        <v>308434</v>
      </c>
      <c r="H8" s="5">
        <f>E8-G8</f>
        <v>-42007</v>
      </c>
      <c r="J8" s="140"/>
    </row>
    <row r="9" spans="1:10" x14ac:dyDescent="0.3">
      <c r="A9" s="162" t="s">
        <v>73</v>
      </c>
      <c r="B9" s="162"/>
      <c r="C9" s="8">
        <f>SUM(C5:C8)</f>
        <v>3593817.54</v>
      </c>
      <c r="D9" s="103">
        <f>SUM(D5:D8)</f>
        <v>324739</v>
      </c>
      <c r="E9" s="8">
        <f>SUM(E5:E8)</f>
        <v>3918556.54</v>
      </c>
      <c r="F9" s="9"/>
      <c r="G9" s="37">
        <f>SUM(G5:G8)</f>
        <v>3445000</v>
      </c>
      <c r="H9" s="37">
        <f>SUM(H5:H8)</f>
        <v>473556.53999999992</v>
      </c>
      <c r="J9" s="139" t="s">
        <v>195</v>
      </c>
    </row>
    <row r="10" spans="1:10" x14ac:dyDescent="0.3">
      <c r="C10" s="7"/>
      <c r="D10" s="59"/>
      <c r="E10" s="7"/>
      <c r="F10" s="7"/>
      <c r="G10" s="7"/>
      <c r="H10" s="7"/>
      <c r="J10" s="139"/>
    </row>
    <row r="11" spans="1:10" x14ac:dyDescent="0.3">
      <c r="A11" s="162" t="s">
        <v>30</v>
      </c>
      <c r="B11" s="162"/>
      <c r="C11" s="5"/>
      <c r="D11" s="56"/>
      <c r="E11" s="7"/>
      <c r="F11" s="7"/>
      <c r="G11" s="7"/>
      <c r="H11" s="7"/>
      <c r="J11" s="139"/>
    </row>
    <row r="12" spans="1:10" x14ac:dyDescent="0.3">
      <c r="A12" s="162" t="s">
        <v>124</v>
      </c>
      <c r="B12" s="162"/>
      <c r="C12" s="5">
        <v>1432613.34</v>
      </c>
      <c r="D12" s="56">
        <f>500095+171+482+482+482+5000</f>
        <v>506712</v>
      </c>
      <c r="E12" s="5">
        <f t="shared" ref="E12:E41" si="1">C12+D12</f>
        <v>1939325.34</v>
      </c>
      <c r="F12" s="5"/>
      <c r="G12" s="5">
        <v>2067182</v>
      </c>
      <c r="H12" s="5">
        <f t="shared" ref="H12:H40" si="2">E12-G12</f>
        <v>-127856.65999999992</v>
      </c>
      <c r="J12" s="139" t="s">
        <v>169</v>
      </c>
    </row>
    <row r="13" spans="1:10" x14ac:dyDescent="0.3">
      <c r="A13" s="162" t="s">
        <v>60</v>
      </c>
      <c r="B13" s="162"/>
      <c r="C13" s="5">
        <v>238990.12</v>
      </c>
      <c r="D13" s="56">
        <v>82375.5</v>
      </c>
      <c r="E13" s="5">
        <f t="shared" si="1"/>
        <v>321365.62</v>
      </c>
      <c r="F13" s="5"/>
      <c r="G13" s="5">
        <v>287708</v>
      </c>
      <c r="H13" s="5">
        <f t="shared" si="2"/>
        <v>33657.619999999995</v>
      </c>
      <c r="J13" s="139" t="s">
        <v>141</v>
      </c>
    </row>
    <row r="14" spans="1:10" x14ac:dyDescent="0.3">
      <c r="A14" s="162" t="s">
        <v>59</v>
      </c>
      <c r="B14" s="162"/>
      <c r="C14" s="5">
        <v>66634.73</v>
      </c>
      <c r="D14" s="56">
        <v>23325</v>
      </c>
      <c r="E14" s="5">
        <f t="shared" si="1"/>
        <v>89959.73</v>
      </c>
      <c r="F14" s="5"/>
      <c r="G14" s="5">
        <v>94872</v>
      </c>
      <c r="H14" s="5">
        <f t="shared" si="2"/>
        <v>-4912.2700000000041</v>
      </c>
      <c r="J14" s="139"/>
    </row>
    <row r="15" spans="1:10" x14ac:dyDescent="0.3">
      <c r="A15" s="162" t="s">
        <v>58</v>
      </c>
      <c r="B15" s="162"/>
      <c r="C15" s="5">
        <v>42709.02</v>
      </c>
      <c r="D15" s="56">
        <v>0</v>
      </c>
      <c r="E15" s="5">
        <f t="shared" si="1"/>
        <v>42709.02</v>
      </c>
      <c r="F15" s="56"/>
      <c r="G15" s="5">
        <v>120876</v>
      </c>
      <c r="H15" s="5">
        <f t="shared" si="2"/>
        <v>-78166.98000000001</v>
      </c>
      <c r="J15" s="139" t="s">
        <v>154</v>
      </c>
    </row>
    <row r="16" spans="1:10" x14ac:dyDescent="0.3">
      <c r="A16" s="162" t="s">
        <v>57</v>
      </c>
      <c r="B16" s="162"/>
      <c r="C16" s="5">
        <v>200698.12</v>
      </c>
      <c r="D16" s="56">
        <v>25000</v>
      </c>
      <c r="E16" s="5">
        <f t="shared" si="1"/>
        <v>225698.12</v>
      </c>
      <c r="F16" s="5"/>
      <c r="G16" s="5">
        <v>212534</v>
      </c>
      <c r="H16" s="5">
        <f t="shared" si="2"/>
        <v>13164.119999999995</v>
      </c>
      <c r="J16" s="139"/>
    </row>
    <row r="17" spans="1:12" x14ac:dyDescent="0.3">
      <c r="A17" s="3" t="s">
        <v>140</v>
      </c>
      <c r="B17" s="3"/>
      <c r="C17" s="5">
        <v>59610.400000000001</v>
      </c>
      <c r="D17" s="56">
        <v>0</v>
      </c>
      <c r="E17" s="5">
        <f t="shared" si="1"/>
        <v>59610.400000000001</v>
      </c>
      <c r="F17" s="5"/>
      <c r="G17" s="5">
        <v>14000</v>
      </c>
      <c r="H17" s="5">
        <f t="shared" si="2"/>
        <v>45610.400000000001</v>
      </c>
      <c r="J17" s="139" t="s">
        <v>152</v>
      </c>
    </row>
    <row r="18" spans="1:12" x14ac:dyDescent="0.3">
      <c r="A18" s="162" t="s">
        <v>56</v>
      </c>
      <c r="B18" s="162"/>
      <c r="C18" s="5">
        <v>27400.29</v>
      </c>
      <c r="D18" s="56">
        <v>60565</v>
      </c>
      <c r="E18" s="5">
        <f t="shared" si="1"/>
        <v>87965.290000000008</v>
      </c>
      <c r="F18" s="5"/>
      <c r="G18" s="5">
        <v>80288.5</v>
      </c>
      <c r="H18" s="5">
        <f t="shared" si="2"/>
        <v>7676.7900000000081</v>
      </c>
      <c r="J18" s="139"/>
    </row>
    <row r="19" spans="1:12" x14ac:dyDescent="0.3">
      <c r="A19" s="162" t="s">
        <v>55</v>
      </c>
      <c r="B19" s="162"/>
      <c r="C19" s="5">
        <v>266652.68</v>
      </c>
      <c r="D19" s="56">
        <v>75216.2</v>
      </c>
      <c r="E19" s="5">
        <f t="shared" si="1"/>
        <v>341868.88</v>
      </c>
      <c r="F19" s="5"/>
      <c r="G19" s="5">
        <v>341335</v>
      </c>
      <c r="H19" s="5">
        <f t="shared" si="2"/>
        <v>533.88000000000466</v>
      </c>
    </row>
    <row r="20" spans="1:12" ht="15.75" customHeight="1" x14ac:dyDescent="0.3">
      <c r="A20" s="162" t="s">
        <v>54</v>
      </c>
      <c r="B20" s="162"/>
      <c r="C20" s="5">
        <v>11260.95</v>
      </c>
      <c r="D20" s="56">
        <v>11000</v>
      </c>
      <c r="E20" s="5">
        <f t="shared" si="1"/>
        <v>22260.95</v>
      </c>
      <c r="F20" s="5"/>
      <c r="G20" s="5">
        <v>27990</v>
      </c>
      <c r="H20" s="5">
        <f t="shared" si="2"/>
        <v>-5729.0499999999993</v>
      </c>
    </row>
    <row r="21" spans="1:12" ht="15.75" customHeight="1" x14ac:dyDescent="0.3">
      <c r="A21" s="162" t="s">
        <v>72</v>
      </c>
      <c r="B21" s="162"/>
      <c r="C21" s="5">
        <v>0</v>
      </c>
      <c r="D21" s="56">
        <v>0</v>
      </c>
      <c r="E21" s="5">
        <f t="shared" si="1"/>
        <v>0</v>
      </c>
      <c r="F21" s="5"/>
      <c r="G21" s="5">
        <v>2085</v>
      </c>
      <c r="H21" s="5">
        <f t="shared" si="2"/>
        <v>-2085</v>
      </c>
    </row>
    <row r="22" spans="1:12" ht="15.75" customHeight="1" x14ac:dyDescent="0.3">
      <c r="A22" s="162" t="s">
        <v>53</v>
      </c>
      <c r="B22" s="162"/>
      <c r="C22" s="5">
        <v>126.17</v>
      </c>
      <c r="D22" s="56">
        <v>5000.01</v>
      </c>
      <c r="E22" s="5">
        <f t="shared" si="1"/>
        <v>5126.18</v>
      </c>
      <c r="F22" s="5"/>
      <c r="G22" s="5">
        <v>23000</v>
      </c>
      <c r="H22" s="5">
        <f t="shared" si="2"/>
        <v>-17873.82</v>
      </c>
    </row>
    <row r="23" spans="1:12" ht="15.75" customHeight="1" x14ac:dyDescent="0.3">
      <c r="A23" s="162" t="s">
        <v>52</v>
      </c>
      <c r="B23" s="162"/>
      <c r="C23" s="5">
        <v>156.49</v>
      </c>
      <c r="D23" s="56">
        <v>1600</v>
      </c>
      <c r="E23" s="5">
        <f t="shared" si="1"/>
        <v>1756.49</v>
      </c>
      <c r="F23" s="5"/>
      <c r="G23" s="5">
        <v>1700</v>
      </c>
      <c r="H23" s="5">
        <f t="shared" si="2"/>
        <v>56.490000000000009</v>
      </c>
    </row>
    <row r="24" spans="1:12" ht="15.75" customHeight="1" x14ac:dyDescent="0.3">
      <c r="A24" s="162" t="s">
        <v>174</v>
      </c>
      <c r="B24" s="162"/>
      <c r="C24" s="5">
        <v>213.02</v>
      </c>
      <c r="D24" s="56">
        <v>1762.5</v>
      </c>
      <c r="E24" s="5">
        <f t="shared" si="1"/>
        <v>1975.52</v>
      </c>
      <c r="F24" s="5"/>
      <c r="G24" s="5">
        <v>7050</v>
      </c>
      <c r="H24" s="5">
        <f t="shared" si="2"/>
        <v>-5074.4799999999996</v>
      </c>
    </row>
    <row r="25" spans="1:12" ht="15.75" customHeight="1" x14ac:dyDescent="0.3">
      <c r="A25" s="162" t="s">
        <v>71</v>
      </c>
      <c r="B25" s="162"/>
      <c r="C25" s="5">
        <v>5364.99</v>
      </c>
      <c r="D25" s="56">
        <v>4020</v>
      </c>
      <c r="E25" s="5">
        <f t="shared" si="1"/>
        <v>9384.99</v>
      </c>
      <c r="F25" s="5"/>
      <c r="G25" s="5">
        <v>6218</v>
      </c>
      <c r="H25" s="5">
        <f t="shared" si="2"/>
        <v>3166.99</v>
      </c>
    </row>
    <row r="26" spans="1:12" ht="15.75" customHeight="1" x14ac:dyDescent="0.3">
      <c r="A26" s="3" t="s">
        <v>113</v>
      </c>
      <c r="B26" s="3"/>
      <c r="C26" s="5">
        <v>428.97</v>
      </c>
      <c r="D26" s="56">
        <v>2450</v>
      </c>
      <c r="E26" s="5">
        <f t="shared" si="1"/>
        <v>2878.9700000000003</v>
      </c>
      <c r="F26" s="5"/>
      <c r="G26" s="5">
        <v>12539</v>
      </c>
      <c r="H26" s="5">
        <f t="shared" si="2"/>
        <v>-9660.0299999999988</v>
      </c>
    </row>
    <row r="27" spans="1:12" ht="15.75" customHeight="1" x14ac:dyDescent="0.3">
      <c r="A27" s="178" t="s">
        <v>173</v>
      </c>
      <c r="B27" s="178"/>
      <c r="C27" s="5">
        <v>3889.33</v>
      </c>
      <c r="D27" s="56">
        <v>6300</v>
      </c>
      <c r="E27" s="5">
        <f t="shared" si="1"/>
        <v>10189.33</v>
      </c>
      <c r="F27" s="5"/>
      <c r="G27" s="5">
        <v>17251</v>
      </c>
      <c r="H27" s="5">
        <f t="shared" si="2"/>
        <v>-7061.67</v>
      </c>
      <c r="I27" s="120"/>
      <c r="J27" s="141"/>
    </row>
    <row r="28" spans="1:12" ht="15.75" customHeight="1" x14ac:dyDescent="0.3">
      <c r="A28" s="162" t="s">
        <v>49</v>
      </c>
      <c r="B28" s="162"/>
      <c r="C28" s="5">
        <v>10675.56</v>
      </c>
      <c r="D28" s="56">
        <v>3287.52</v>
      </c>
      <c r="E28" s="5">
        <f t="shared" si="1"/>
        <v>13963.08</v>
      </c>
      <c r="F28" s="5"/>
      <c r="G28" s="5">
        <v>13150</v>
      </c>
      <c r="H28" s="5">
        <f t="shared" si="2"/>
        <v>813.07999999999993</v>
      </c>
    </row>
    <row r="29" spans="1:12" ht="15.75" customHeight="1" x14ac:dyDescent="0.3">
      <c r="A29" s="162" t="s">
        <v>48</v>
      </c>
      <c r="B29" s="162"/>
      <c r="C29" s="5">
        <v>12675.75</v>
      </c>
      <c r="D29" s="56">
        <v>5262.51</v>
      </c>
      <c r="E29" s="5">
        <f t="shared" si="1"/>
        <v>17938.260000000002</v>
      </c>
      <c r="F29" s="5"/>
      <c r="G29" s="5">
        <v>21050</v>
      </c>
      <c r="H29" s="5">
        <f t="shared" si="2"/>
        <v>-3111.739999999998</v>
      </c>
    </row>
    <row r="30" spans="1:12" ht="15.75" customHeight="1" x14ac:dyDescent="0.3">
      <c r="A30" s="162" t="s">
        <v>46</v>
      </c>
      <c r="B30" s="162"/>
      <c r="C30" s="5">
        <v>22299.5</v>
      </c>
      <c r="D30" s="56">
        <v>9318.27</v>
      </c>
      <c r="E30" s="5">
        <f t="shared" si="1"/>
        <v>31617.77</v>
      </c>
      <c r="F30" s="5"/>
      <c r="G30" s="5">
        <v>37273</v>
      </c>
      <c r="H30" s="5">
        <f t="shared" si="2"/>
        <v>-5655.23</v>
      </c>
    </row>
    <row r="31" spans="1:12" ht="15.75" customHeight="1" x14ac:dyDescent="0.3">
      <c r="A31" s="162" t="s">
        <v>45</v>
      </c>
      <c r="B31" s="162"/>
      <c r="C31" s="5">
        <v>68674.36</v>
      </c>
      <c r="D31" s="56">
        <v>7115.52</v>
      </c>
      <c r="E31" s="5">
        <f t="shared" si="1"/>
        <v>75789.88</v>
      </c>
      <c r="F31" s="5"/>
      <c r="G31" s="5">
        <v>71949</v>
      </c>
      <c r="H31" s="5">
        <f t="shared" si="2"/>
        <v>3840.8800000000047</v>
      </c>
      <c r="L31" s="38"/>
    </row>
    <row r="32" spans="1:12" ht="15.75" customHeight="1" x14ac:dyDescent="0.3">
      <c r="A32" s="162" t="s">
        <v>44</v>
      </c>
      <c r="B32" s="162"/>
      <c r="C32" s="5">
        <v>6806.52</v>
      </c>
      <c r="D32" s="56">
        <v>778.55</v>
      </c>
      <c r="E32" s="5">
        <f t="shared" si="1"/>
        <v>7585.0700000000006</v>
      </c>
      <c r="F32" s="5"/>
      <c r="G32" s="5">
        <v>11593</v>
      </c>
      <c r="H32" s="5">
        <f t="shared" si="2"/>
        <v>-4007.9299999999994</v>
      </c>
    </row>
    <row r="33" spans="1:9" ht="15.75" customHeight="1" x14ac:dyDescent="0.3">
      <c r="A33" s="162" t="s">
        <v>43</v>
      </c>
      <c r="B33" s="162"/>
      <c r="C33" s="5">
        <v>46321.45</v>
      </c>
      <c r="D33" s="56">
        <v>277</v>
      </c>
      <c r="E33" s="5">
        <f t="shared" si="1"/>
        <v>46598.45</v>
      </c>
      <c r="F33" s="5"/>
      <c r="G33" s="5">
        <v>50444</v>
      </c>
      <c r="H33" s="5">
        <f t="shared" si="2"/>
        <v>-3845.5500000000029</v>
      </c>
    </row>
    <row r="34" spans="1:9" ht="15.75" customHeight="1" x14ac:dyDescent="0.3">
      <c r="A34" s="162" t="s">
        <v>127</v>
      </c>
      <c r="B34" s="162"/>
      <c r="C34" s="5">
        <v>147.59</v>
      </c>
      <c r="D34" s="56">
        <v>359</v>
      </c>
      <c r="E34" s="5">
        <f t="shared" si="1"/>
        <v>506.59000000000003</v>
      </c>
      <c r="F34" s="5"/>
      <c r="G34" s="5">
        <v>429</v>
      </c>
      <c r="H34" s="5">
        <f t="shared" si="2"/>
        <v>77.590000000000032</v>
      </c>
    </row>
    <row r="35" spans="1:9" ht="15.75" customHeight="1" x14ac:dyDescent="0.3">
      <c r="A35" s="162" t="s">
        <v>42</v>
      </c>
      <c r="B35" s="162"/>
      <c r="C35" s="5">
        <v>15079.44</v>
      </c>
      <c r="D35" s="56">
        <v>5625</v>
      </c>
      <c r="E35" s="5">
        <f t="shared" si="1"/>
        <v>20704.440000000002</v>
      </c>
      <c r="F35" s="5"/>
      <c r="G35" s="5">
        <v>22500</v>
      </c>
      <c r="H35" s="5">
        <f>E35-G35</f>
        <v>-1795.5599999999977</v>
      </c>
    </row>
    <row r="36" spans="1:9" ht="15.75" customHeight="1" x14ac:dyDescent="0.3">
      <c r="A36" s="162" t="s">
        <v>41</v>
      </c>
      <c r="B36" s="162"/>
      <c r="C36" s="5">
        <v>3790.11</v>
      </c>
      <c r="D36" s="56">
        <v>1039.25</v>
      </c>
      <c r="E36" s="5">
        <f t="shared" si="1"/>
        <v>4829.3600000000006</v>
      </c>
      <c r="F36" s="5"/>
      <c r="G36" s="5">
        <v>4999</v>
      </c>
      <c r="H36" s="5">
        <f t="shared" si="2"/>
        <v>-169.63999999999942</v>
      </c>
    </row>
    <row r="37" spans="1:9" ht="15.75" customHeight="1" x14ac:dyDescent="0.3">
      <c r="A37" s="162" t="s">
        <v>40</v>
      </c>
      <c r="B37" s="162"/>
      <c r="C37" s="5">
        <v>21587.82</v>
      </c>
      <c r="D37" s="56">
        <v>6956.75</v>
      </c>
      <c r="E37" s="5">
        <f t="shared" si="1"/>
        <v>28544.57</v>
      </c>
      <c r="F37" s="5"/>
      <c r="G37" s="5">
        <v>41486.5</v>
      </c>
      <c r="H37" s="5">
        <f t="shared" si="2"/>
        <v>-12941.93</v>
      </c>
    </row>
    <row r="38" spans="1:9" ht="15.75" customHeight="1" x14ac:dyDescent="0.3">
      <c r="A38" s="162" t="s">
        <v>70</v>
      </c>
      <c r="B38" s="162"/>
      <c r="C38" s="5">
        <v>4165.3</v>
      </c>
      <c r="D38" s="56">
        <v>1000</v>
      </c>
      <c r="E38" s="5">
        <f t="shared" si="1"/>
        <v>5165.3</v>
      </c>
      <c r="F38" s="5"/>
      <c r="G38" s="5">
        <v>5236</v>
      </c>
      <c r="H38" s="5">
        <f t="shared" si="2"/>
        <v>-70.699999999999818</v>
      </c>
    </row>
    <row r="39" spans="1:9" ht="15.75" customHeight="1" x14ac:dyDescent="0.3">
      <c r="A39" s="3" t="s">
        <v>123</v>
      </c>
      <c r="B39" s="3"/>
      <c r="C39" s="5">
        <v>500</v>
      </c>
      <c r="D39" s="56">
        <v>0</v>
      </c>
      <c r="E39" s="5">
        <f t="shared" si="1"/>
        <v>500</v>
      </c>
      <c r="F39" s="5"/>
      <c r="G39" s="5">
        <v>750</v>
      </c>
      <c r="H39" s="5">
        <f t="shared" si="2"/>
        <v>-250</v>
      </c>
    </row>
    <row r="40" spans="1:9" ht="15.75" customHeight="1" x14ac:dyDescent="0.3">
      <c r="A40" s="3" t="s">
        <v>116</v>
      </c>
      <c r="B40" s="3"/>
      <c r="C40" s="5">
        <v>73389.929999999993</v>
      </c>
      <c r="D40" s="56">
        <v>25628</v>
      </c>
      <c r="E40" s="5">
        <f t="shared" si="1"/>
        <v>99017.93</v>
      </c>
      <c r="F40" s="5"/>
      <c r="G40" s="5">
        <v>102512</v>
      </c>
      <c r="H40" s="5">
        <f t="shared" si="2"/>
        <v>-3494.070000000007</v>
      </c>
      <c r="I40" s="38"/>
    </row>
    <row r="41" spans="1:9" ht="15.75" customHeight="1" x14ac:dyDescent="0.3">
      <c r="A41" s="3"/>
      <c r="B41" s="3"/>
      <c r="C41" s="5">
        <v>106</v>
      </c>
      <c r="D41" s="56">
        <v>-3</v>
      </c>
      <c r="E41" s="5">
        <f t="shared" si="1"/>
        <v>103</v>
      </c>
      <c r="F41" s="5"/>
      <c r="G41" s="5"/>
      <c r="H41" s="5"/>
      <c r="I41" s="38"/>
    </row>
    <row r="42" spans="1:9" ht="15.75" customHeight="1" x14ac:dyDescent="0.3">
      <c r="A42" s="162" t="s">
        <v>21</v>
      </c>
      <c r="B42" s="162"/>
      <c r="C42" s="97">
        <f>SUM(C12:C41)</f>
        <v>2642967.9500000007</v>
      </c>
      <c r="D42" s="149">
        <f>SUM(D12:D41)</f>
        <v>871970.58000000007</v>
      </c>
      <c r="E42" s="97">
        <f>SUM(E12:E41)</f>
        <v>3514938.5300000003</v>
      </c>
      <c r="F42" s="97"/>
      <c r="G42" s="97">
        <f>SUM(G12:G40)</f>
        <v>3700000</v>
      </c>
      <c r="H42" s="97">
        <f>SUM(H12:H40)</f>
        <v>-185164.46999999997</v>
      </c>
    </row>
    <row r="43" spans="1:9" ht="15.75" customHeight="1" x14ac:dyDescent="0.3">
      <c r="C43" s="7"/>
      <c r="D43" s="59"/>
      <c r="E43" s="7"/>
      <c r="F43" s="7"/>
      <c r="G43" s="7"/>
      <c r="H43" s="7"/>
    </row>
    <row r="44" spans="1:9" ht="15.75" customHeight="1" x14ac:dyDescent="0.3">
      <c r="A44" s="159" t="s">
        <v>126</v>
      </c>
      <c r="B44" s="159"/>
      <c r="C44" s="53">
        <f>C9-C42</f>
        <v>950849.58999999939</v>
      </c>
      <c r="D44" s="150">
        <f>D9-D42</f>
        <v>-547231.58000000007</v>
      </c>
      <c r="E44" s="53">
        <f>E9-E42</f>
        <v>403618.00999999978</v>
      </c>
      <c r="F44" s="53"/>
      <c r="G44" s="53">
        <f>G9-G42</f>
        <v>-255000</v>
      </c>
      <c r="H44" s="53">
        <f>H9-H42</f>
        <v>658721.00999999989</v>
      </c>
    </row>
    <row r="45" spans="1:9" ht="15.75" customHeight="1" x14ac:dyDescent="0.3">
      <c r="H45" s="1"/>
    </row>
    <row r="46" spans="1:9" ht="15.75" customHeight="1" x14ac:dyDescent="0.3">
      <c r="A46" s="18" t="s">
        <v>171</v>
      </c>
      <c r="H46" s="1"/>
    </row>
    <row r="47" spans="1:9" x14ac:dyDescent="0.3">
      <c r="A47" s="147" t="s">
        <v>189</v>
      </c>
      <c r="C47" s="112">
        <f>632042.07-3132.99</f>
        <v>628909.07999999996</v>
      </c>
      <c r="D47" s="112">
        <f>20000</f>
        <v>20000</v>
      </c>
      <c r="E47" s="112">
        <f t="shared" ref="E47" si="3">C47+D47</f>
        <v>648909.07999999996</v>
      </c>
      <c r="G47" s="113">
        <v>80000</v>
      </c>
      <c r="H47" s="113">
        <f t="shared" ref="H47" si="4">E47-G47</f>
        <v>568909.07999999996</v>
      </c>
    </row>
    <row r="48" spans="1:9" x14ac:dyDescent="0.3">
      <c r="H48" s="1"/>
    </row>
    <row r="49" spans="1:8" ht="17.25" thickBot="1" x14ac:dyDescent="0.35">
      <c r="A49" s="1" t="s">
        <v>164</v>
      </c>
      <c r="B49" s="5"/>
      <c r="C49" s="98">
        <f>C44+C47</f>
        <v>1579758.6699999995</v>
      </c>
      <c r="D49" s="151">
        <f t="shared" ref="D49:E49" si="5">D44+D47</f>
        <v>-527231.58000000007</v>
      </c>
      <c r="E49" s="98">
        <f t="shared" si="5"/>
        <v>1052527.0899999999</v>
      </c>
      <c r="F49" s="98"/>
      <c r="G49" s="98">
        <f t="shared" ref="G49:H49" si="6">G44+G47</f>
        <v>-175000</v>
      </c>
      <c r="H49" s="98">
        <f t="shared" si="6"/>
        <v>1227630.0899999999</v>
      </c>
    </row>
    <row r="50" spans="1:8" ht="17.25" thickTop="1" x14ac:dyDescent="0.3"/>
    <row r="51" spans="1:8" ht="30.75" customHeight="1" x14ac:dyDescent="0.3">
      <c r="A51" s="176" t="s">
        <v>170</v>
      </c>
      <c r="B51" s="176"/>
      <c r="C51" s="176"/>
      <c r="D51" s="176"/>
      <c r="E51" s="176"/>
      <c r="F51" s="176"/>
      <c r="G51" s="176"/>
    </row>
  </sheetData>
  <mergeCells count="38">
    <mergeCell ref="A38:B38"/>
    <mergeCell ref="A42:B42"/>
    <mergeCell ref="A44:B44"/>
    <mergeCell ref="A32:B32"/>
    <mergeCell ref="A33:B33"/>
    <mergeCell ref="A34:B34"/>
    <mergeCell ref="A35:B35"/>
    <mergeCell ref="A36:B36"/>
    <mergeCell ref="A37:B37"/>
    <mergeCell ref="A16:B16"/>
    <mergeCell ref="A31:B31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51:G51"/>
    <mergeCell ref="A4:B4"/>
    <mergeCell ref="A1:E1"/>
    <mergeCell ref="A2:E2"/>
    <mergeCell ref="A3:B3"/>
    <mergeCell ref="A18:B18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5:B15"/>
  </mergeCells>
  <pageMargins left="0.1" right="0.1" top="0.25" bottom="0.25" header="0.5" footer="0.5"/>
  <pageSetup scale="66" orientation="landscape" r:id="rId1"/>
  <headerFooter>
    <oddHeader xml:space="preserve">&amp;C&amp;20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sheetPr>
    <pageSetUpPr fitToPage="1"/>
  </sheetPr>
  <dimension ref="A1:J27"/>
  <sheetViews>
    <sheetView workbookViewId="0">
      <selection activeCell="I26" sqref="I26"/>
    </sheetView>
  </sheetViews>
  <sheetFormatPr defaultRowHeight="16.5" x14ac:dyDescent="0.3"/>
  <cols>
    <col min="1" max="1" width="20.42578125" style="27" customWidth="1"/>
    <col min="2" max="2" width="5.5703125" style="27" customWidth="1"/>
    <col min="3" max="3" width="50.28515625" style="27" customWidth="1"/>
    <col min="4" max="4" width="20.7109375" style="27" customWidth="1"/>
    <col min="5" max="5" width="9.140625" style="31"/>
    <col min="6" max="6" width="11.5703125" style="27" bestFit="1" customWidth="1"/>
    <col min="7" max="7" width="23.140625" style="94" customWidth="1"/>
    <col min="8" max="16384" width="9.140625" style="27"/>
  </cols>
  <sheetData>
    <row r="1" spans="1:7" s="25" customFormat="1" ht="17.25" x14ac:dyDescent="0.3">
      <c r="A1" s="25" t="s">
        <v>167</v>
      </c>
      <c r="E1" s="26"/>
      <c r="G1" s="93"/>
    </row>
    <row r="2" spans="1:7" x14ac:dyDescent="0.3">
      <c r="A2" s="179" t="s">
        <v>196</v>
      </c>
      <c r="B2" s="179"/>
    </row>
    <row r="3" spans="1:7" x14ac:dyDescent="0.3">
      <c r="D3" s="28" t="s">
        <v>197</v>
      </c>
      <c r="E3" s="29"/>
    </row>
    <row r="4" spans="1:7" x14ac:dyDescent="0.3">
      <c r="B4" s="27" t="s">
        <v>162</v>
      </c>
      <c r="D4" s="132">
        <v>5045282.4800000004</v>
      </c>
      <c r="E4" s="29"/>
    </row>
    <row r="5" spans="1:7" x14ac:dyDescent="0.3">
      <c r="D5" s="7"/>
      <c r="E5" s="29"/>
    </row>
    <row r="6" spans="1:7" x14ac:dyDescent="0.3">
      <c r="C6" s="27" t="s">
        <v>104</v>
      </c>
      <c r="D6" s="7">
        <v>43742.78</v>
      </c>
      <c r="E6" s="29"/>
    </row>
    <row r="7" spans="1:7" x14ac:dyDescent="0.3">
      <c r="C7" s="27" t="s">
        <v>105</v>
      </c>
      <c r="D7" s="7">
        <v>-1924.11</v>
      </c>
      <c r="E7" s="29"/>
    </row>
    <row r="8" spans="1:7" x14ac:dyDescent="0.3">
      <c r="C8" s="27" t="s">
        <v>106</v>
      </c>
      <c r="D8" s="7">
        <v>522402</v>
      </c>
      <c r="E8" s="29"/>
    </row>
    <row r="9" spans="1:7" x14ac:dyDescent="0.3">
      <c r="C9" s="27" t="s">
        <v>107</v>
      </c>
      <c r="D9" s="7">
        <v>15504.56</v>
      </c>
      <c r="E9" s="29"/>
    </row>
    <row r="10" spans="1:7" x14ac:dyDescent="0.3">
      <c r="C10" s="27" t="s">
        <v>108</v>
      </c>
      <c r="D10" s="7">
        <v>59439.25</v>
      </c>
      <c r="E10" s="29"/>
    </row>
    <row r="11" spans="1:7" x14ac:dyDescent="0.3">
      <c r="C11" s="27" t="s">
        <v>109</v>
      </c>
      <c r="D11" s="72">
        <v>-19747.47</v>
      </c>
      <c r="E11" s="29"/>
    </row>
    <row r="12" spans="1:7" x14ac:dyDescent="0.3">
      <c r="D12" s="7"/>
      <c r="E12" s="29"/>
    </row>
    <row r="13" spans="1:7" x14ac:dyDescent="0.3">
      <c r="B13" s="27" t="s">
        <v>110</v>
      </c>
      <c r="D13" s="110">
        <f>SUM(D4:D11)+1</f>
        <v>5664700.4900000002</v>
      </c>
      <c r="E13" s="29"/>
      <c r="F13" s="30"/>
    </row>
    <row r="14" spans="1:7" x14ac:dyDescent="0.3">
      <c r="D14" s="94"/>
      <c r="F14" s="32"/>
    </row>
    <row r="15" spans="1:7" s="31" customFormat="1" ht="14.25" x14ac:dyDescent="0.2">
      <c r="D15" s="95"/>
      <c r="G15" s="95"/>
    </row>
    <row r="16" spans="1:7" x14ac:dyDescent="0.3">
      <c r="D16" s="94"/>
    </row>
    <row r="17" spans="1:10" x14ac:dyDescent="0.3">
      <c r="F17" s="33"/>
    </row>
    <row r="18" spans="1:10" x14ac:dyDescent="0.3">
      <c r="D18" s="32"/>
    </row>
    <row r="21" spans="1:10" x14ac:dyDescent="0.3">
      <c r="F21" s="32"/>
    </row>
    <row r="22" spans="1:10" x14ac:dyDescent="0.3">
      <c r="F22" s="32"/>
    </row>
    <row r="27" spans="1:10" x14ac:dyDescent="0.3">
      <c r="A27" s="116"/>
      <c r="B27" s="116"/>
      <c r="C27" s="116"/>
      <c r="D27" s="116"/>
      <c r="E27" s="117"/>
      <c r="F27" s="116"/>
      <c r="G27" s="118"/>
      <c r="H27" s="116"/>
      <c r="I27" s="116"/>
      <c r="J27" s="116"/>
    </row>
  </sheetData>
  <mergeCells count="1">
    <mergeCell ref="A2:B2"/>
  </mergeCells>
  <pageMargins left="0.7" right="0.7" top="0.75" bottom="0.75" header="0.3" footer="0.3"/>
  <pageSetup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</vt:lpstr>
      <vt:lpstr>Financial Position</vt:lpstr>
      <vt:lpstr>Stmt Activities</vt:lpstr>
      <vt:lpstr>Functional Exp</vt:lpstr>
      <vt:lpstr>Restricted Net Asset Changes</vt:lpstr>
      <vt:lpstr>Budget variance </vt:lpstr>
      <vt:lpstr>FY26 Projections </vt:lpstr>
      <vt:lpstr>Endowment</vt:lpstr>
      <vt:lpstr>'Budget variance '!Print_Area</vt:lpstr>
      <vt:lpstr>Cover!Print_Area</vt:lpstr>
      <vt:lpstr>Endowment!Print_Area</vt:lpstr>
      <vt:lpstr>'Financial Position'!Print_Area</vt:lpstr>
      <vt:lpstr>'Functional Exp'!Print_Area</vt:lpstr>
      <vt:lpstr>'FY26 Projections '!Print_Area</vt:lpstr>
      <vt:lpstr>'Restricted Net Asset Changes'!Print_Area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Ann Kohler</cp:lastModifiedBy>
  <cp:lastPrinted>2026-04-23T00:16:45Z</cp:lastPrinted>
  <dcterms:created xsi:type="dcterms:W3CDTF">2023-09-08T19:08:44Z</dcterms:created>
  <dcterms:modified xsi:type="dcterms:W3CDTF">2026-05-06T16:13:35Z</dcterms:modified>
</cp:coreProperties>
</file>