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l-fp01\Company\BOARD\Committees\Finance Committee\01.13.26 Finance Committee Meeting\"/>
    </mc:Choice>
  </mc:AlternateContent>
  <xr:revisionPtr revIDLastSave="0" documentId="13_ncr:1_{429CF8FA-4003-4E56-AE53-9017BA084856}" xr6:coauthVersionLast="47" xr6:coauthVersionMax="47" xr10:uidLastSave="{00000000-0000-0000-0000-000000000000}"/>
  <bookViews>
    <workbookView xWindow="28680" yWindow="30" windowWidth="29040" windowHeight="15720" activeTab="5" xr2:uid="{00000000-000D-0000-FFFF-FFFF00000000}"/>
  </bookViews>
  <sheets>
    <sheet name="Financial Position" sheetId="1" r:id="rId1"/>
    <sheet name="Stmt Activities" sheetId="2" r:id="rId2"/>
    <sheet name="Functional Exp" sheetId="3" r:id="rId3"/>
    <sheet name="Restricted Net Asset Changes" sheetId="8" r:id="rId4"/>
    <sheet name="Budget variance" sheetId="4" r:id="rId5"/>
    <sheet name="FY26 Projections" sheetId="10" r:id="rId6"/>
    <sheet name="Endowment" sheetId="7" r:id="rId7"/>
  </sheets>
  <definedNames>
    <definedName name="AS2DocOpenMode" hidden="1">"AS2DocumentEdit"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4">'Budget variance'!$A$1:$I$58</definedName>
    <definedName name="_xlnm.Print_Area" localSheetId="6">Endowment!$A$1:$D$15</definedName>
    <definedName name="_xlnm.Print_Area" localSheetId="0">'Financial Position'!$A$1:$F$31</definedName>
    <definedName name="_xlnm.Print_Area" localSheetId="2">'Functional Exp'!$A$1:$L$44</definedName>
    <definedName name="_xlnm.Print_Area" localSheetId="5">'FY26 Projections'!$A$1:$K$47</definedName>
    <definedName name="_xlnm.Print_Area" localSheetId="3">'Restricted Net Asset Changes'!$A$1:$G$40</definedName>
    <definedName name="_xlnm.Print_Area" localSheetId="1">'Stmt Activities'!$A$1:$H$36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3" l="1"/>
  <c r="K42" i="3"/>
  <c r="K15" i="3"/>
  <c r="D8" i="10"/>
  <c r="C8" i="10"/>
  <c r="D18" i="10"/>
  <c r="D6" i="10" l="1"/>
  <c r="D13" i="7"/>
  <c r="C58" i="4" l="1"/>
  <c r="C9" i="4"/>
  <c r="D12" i="2" l="1"/>
  <c r="D14" i="2" s="1"/>
  <c r="E14" i="2"/>
  <c r="D9" i="2"/>
  <c r="F47" i="10" l="1"/>
  <c r="D26" i="10"/>
  <c r="E26" i="10" s="1"/>
  <c r="H26" i="10" s="1"/>
  <c r="E18" i="10"/>
  <c r="H18" i="10" s="1"/>
  <c r="D16" i="10"/>
  <c r="E16" i="10" s="1"/>
  <c r="H16" i="10" s="1"/>
  <c r="E15" i="10"/>
  <c r="E17" i="10"/>
  <c r="H17" i="10" s="1"/>
  <c r="E19" i="10"/>
  <c r="H19" i="10" s="1"/>
  <c r="E20" i="10"/>
  <c r="H20" i="10" s="1"/>
  <c r="E21" i="10"/>
  <c r="H21" i="10" s="1"/>
  <c r="E22" i="10"/>
  <c r="H22" i="10" s="1"/>
  <c r="E23" i="10"/>
  <c r="H23" i="10" s="1"/>
  <c r="E24" i="10"/>
  <c r="H24" i="10" s="1"/>
  <c r="E25" i="10"/>
  <c r="H25" i="10" s="1"/>
  <c r="E27" i="10"/>
  <c r="H27" i="10" s="1"/>
  <c r="E28" i="10"/>
  <c r="H28" i="10" s="1"/>
  <c r="E29" i="10"/>
  <c r="H29" i="10" s="1"/>
  <c r="E30" i="10"/>
  <c r="H30" i="10" s="1"/>
  <c r="E31" i="10"/>
  <c r="H31" i="10" s="1"/>
  <c r="E32" i="10"/>
  <c r="H32" i="10" s="1"/>
  <c r="E33" i="10"/>
  <c r="H33" i="10" s="1"/>
  <c r="E34" i="10"/>
  <c r="H34" i="10" s="1"/>
  <c r="E35" i="10"/>
  <c r="H35" i="10" s="1"/>
  <c r="E36" i="10"/>
  <c r="H36" i="10" s="1"/>
  <c r="E37" i="10"/>
  <c r="H37" i="10" s="1"/>
  <c r="E38" i="10"/>
  <c r="H38" i="10" s="1"/>
  <c r="E39" i="10"/>
  <c r="H39" i="10" s="1"/>
  <c r="E40" i="10"/>
  <c r="H40" i="10" s="1"/>
  <c r="E41" i="10"/>
  <c r="H41" i="10" s="1"/>
  <c r="E42" i="10"/>
  <c r="H42" i="10" s="1"/>
  <c r="E14" i="10"/>
  <c r="H14" i="10" s="1"/>
  <c r="E9" i="10"/>
  <c r="E7" i="10"/>
  <c r="H7" i="10" s="1"/>
  <c r="E8" i="10"/>
  <c r="H8" i="10" s="1"/>
  <c r="E10" i="10"/>
  <c r="H10" i="10" s="1"/>
  <c r="E6" i="10"/>
  <c r="H6" i="10" s="1"/>
  <c r="H15" i="10" l="1"/>
  <c r="H43" i="10" s="1"/>
  <c r="G43" i="10" l="1"/>
  <c r="D43" i="10"/>
  <c r="C43" i="10"/>
  <c r="C11" i="10"/>
  <c r="G9" i="10"/>
  <c r="G47" i="4"/>
  <c r="G45" i="4"/>
  <c r="G12" i="4"/>
  <c r="G10" i="4"/>
  <c r="E8" i="4"/>
  <c r="E9" i="4"/>
  <c r="E11" i="4"/>
  <c r="E7" i="4"/>
  <c r="D10" i="4"/>
  <c r="E10" i="4"/>
  <c r="H36" i="2"/>
  <c r="H12" i="2"/>
  <c r="G11" i="10" l="1"/>
  <c r="G47" i="10" s="1"/>
  <c r="H9" i="10"/>
  <c r="H11" i="10" s="1"/>
  <c r="E43" i="10"/>
  <c r="E11" i="10"/>
  <c r="D11" i="10"/>
  <c r="F23" i="1"/>
  <c r="F30" i="3"/>
  <c r="E47" i="10" l="1"/>
  <c r="B42" i="3"/>
  <c r="G15" i="3"/>
  <c r="H30" i="2"/>
  <c r="E13" i="2" l="1"/>
  <c r="D12" i="4"/>
  <c r="B38" i="3" l="1"/>
  <c r="C38" i="3"/>
  <c r="D38" i="3"/>
  <c r="G28" i="2"/>
  <c r="F8" i="2" l="1"/>
  <c r="F9" i="2"/>
  <c r="F10" i="2"/>
  <c r="F11" i="2"/>
  <c r="F13" i="2"/>
  <c r="F7" i="2"/>
  <c r="C53" i="4" l="1"/>
  <c r="F12" i="2"/>
  <c r="F14" i="2" s="1"/>
  <c r="C12" i="4" l="1"/>
  <c r="C56" i="4" s="1"/>
  <c r="E12" i="4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8" i="3"/>
  <c r="I34" i="3" l="1"/>
  <c r="L34" i="3" s="1"/>
  <c r="I18" i="3"/>
  <c r="L18" i="3" s="1"/>
  <c r="I17" i="3"/>
  <c r="L17" i="3" s="1"/>
  <c r="I24" i="3"/>
  <c r="L24" i="3" s="1"/>
  <c r="I26" i="3"/>
  <c r="I33" i="3"/>
  <c r="L33" i="3" s="1"/>
  <c r="I9" i="3"/>
  <c r="L9" i="3" s="1"/>
  <c r="I32" i="3"/>
  <c r="L32" i="3" s="1"/>
  <c r="I16" i="3"/>
  <c r="L16" i="3" s="1"/>
  <c r="I25" i="3"/>
  <c r="L25" i="3" s="1"/>
  <c r="I28" i="3"/>
  <c r="L28" i="3" s="1"/>
  <c r="I20" i="3"/>
  <c r="L20" i="3" s="1"/>
  <c r="I12" i="3"/>
  <c r="L12" i="3" s="1"/>
  <c r="I36" i="3"/>
  <c r="L36" i="3" s="1"/>
  <c r="I27" i="3"/>
  <c r="L27" i="3" s="1"/>
  <c r="I11" i="3"/>
  <c r="L11" i="3" s="1"/>
  <c r="I35" i="3"/>
  <c r="L35" i="3" s="1"/>
  <c r="I19" i="3"/>
  <c r="L19" i="3" s="1"/>
  <c r="I31" i="3"/>
  <c r="L31" i="3" s="1"/>
  <c r="I30" i="3"/>
  <c r="L30" i="3" s="1"/>
  <c r="I22" i="3"/>
  <c r="L22" i="3" s="1"/>
  <c r="I14" i="3"/>
  <c r="L14" i="3" s="1"/>
  <c r="I15" i="3"/>
  <c r="L15" i="3" s="1"/>
  <c r="I29" i="3"/>
  <c r="L29" i="3" s="1"/>
  <c r="I21" i="3"/>
  <c r="L21" i="3" s="1"/>
  <c r="I13" i="3"/>
  <c r="L13" i="3" s="1"/>
  <c r="I23" i="3"/>
  <c r="L23" i="3" s="1"/>
  <c r="I37" i="3"/>
  <c r="L37" i="3" s="1"/>
  <c r="I10" i="3"/>
  <c r="L10" i="3" s="1"/>
  <c r="I8" i="3"/>
  <c r="L8" i="3" s="1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K38" i="3" l="1"/>
  <c r="F38" i="3"/>
  <c r="F42" i="3" s="1"/>
  <c r="G38" i="3"/>
  <c r="G42" i="3" l="1"/>
  <c r="D24" i="2" s="1"/>
  <c r="C40" i="8"/>
  <c r="G39" i="8"/>
  <c r="G38" i="8"/>
  <c r="G37" i="8"/>
  <c r="G36" i="8"/>
  <c r="G35" i="8"/>
  <c r="G34" i="8"/>
  <c r="G33" i="8"/>
  <c r="G32" i="8"/>
  <c r="G31" i="8"/>
  <c r="G30" i="8"/>
  <c r="G29" i="8"/>
  <c r="G28" i="8"/>
  <c r="D40" i="8"/>
  <c r="G25" i="8"/>
  <c r="G40" i="8" s="1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F40" i="8"/>
  <c r="G9" i="8"/>
  <c r="G6" i="8"/>
  <c r="G5" i="8"/>
  <c r="H42" i="3" l="1"/>
  <c r="E40" i="8"/>
  <c r="D18" i="2" l="1"/>
  <c r="D42" i="3" l="1"/>
  <c r="D20" i="2"/>
  <c r="C42" i="3"/>
  <c r="D19" i="2"/>
  <c r="L26" i="3"/>
  <c r="C45" i="4" l="1"/>
  <c r="C57" i="4" s="1"/>
  <c r="D45" i="4"/>
  <c r="F19" i="1"/>
  <c r="F13" i="1" l="1"/>
  <c r="H14" i="2"/>
  <c r="D13" i="1" l="1"/>
  <c r="F32" i="2" l="1"/>
  <c r="F30" i="2"/>
  <c r="D19" i="1"/>
  <c r="F24" i="1" l="1"/>
  <c r="H25" i="2" l="1"/>
  <c r="H21" i="2"/>
  <c r="H26" i="2" l="1"/>
  <c r="H34" i="2" l="1"/>
  <c r="H28" i="2"/>
  <c r="F24" i="2"/>
  <c r="F19" i="2"/>
  <c r="F18" i="2"/>
  <c r="D23" i="2"/>
  <c r="F23" i="2" s="1"/>
  <c r="F20" i="2"/>
  <c r="D25" i="2" l="1"/>
  <c r="F25" i="2" s="1"/>
  <c r="D21" i="2"/>
  <c r="F21" i="2" s="1"/>
  <c r="D26" i="2" l="1"/>
  <c r="D28" i="2" s="1"/>
  <c r="E38" i="3"/>
  <c r="E42" i="3" s="1"/>
  <c r="I42" i="3" s="1"/>
  <c r="F26" i="2" l="1"/>
  <c r="F28" i="2" s="1"/>
  <c r="H38" i="3"/>
  <c r="E13" i="7"/>
  <c r="E15" i="4"/>
  <c r="E45" i="4" s="1"/>
  <c r="D47" i="4"/>
  <c r="F26" i="1"/>
  <c r="D24" i="1"/>
  <c r="F29" i="1" l="1"/>
  <c r="F31" i="1" s="1"/>
  <c r="L38" i="3"/>
  <c r="I38" i="3"/>
  <c r="B44" i="3" s="1"/>
  <c r="F44" i="3" l="1"/>
  <c r="D44" i="3"/>
  <c r="C44" i="3"/>
  <c r="G44" i="3"/>
  <c r="H44" i="3" l="1"/>
  <c r="E44" i="3"/>
  <c r="E34" i="2"/>
  <c r="E36" i="2" s="1"/>
  <c r="D28" i="1" s="1"/>
  <c r="E28" i="2"/>
  <c r="I44" i="3" l="1"/>
  <c r="D34" i="2"/>
  <c r="D36" i="2" s="1"/>
  <c r="D23" i="1" s="1"/>
  <c r="F34" i="2" l="1"/>
  <c r="D26" i="1"/>
  <c r="D29" i="1" s="1"/>
  <c r="D31" i="1" s="1"/>
  <c r="C47" i="4"/>
  <c r="E47" i="4" s="1"/>
  <c r="F36" i="2" l="1"/>
</calcChain>
</file>

<file path=xl/sharedStrings.xml><?xml version="1.0" encoding="utf-8"?>
<sst xmlns="http://schemas.openxmlformats.org/spreadsheetml/2006/main" count="278" uniqueCount="191">
  <si>
    <t>The Education Foundation of Collier County Inc.</t>
  </si>
  <si>
    <t>Statement of Financial Position</t>
  </si>
  <si>
    <t>Assets</t>
  </si>
  <si>
    <t xml:space="preserve">               Prepaid Scholarships</t>
  </si>
  <si>
    <t xml:space="preserve">               Other Prepaid Expenses</t>
  </si>
  <si>
    <t xml:space="preserve">               Property and Equipment, net</t>
  </si>
  <si>
    <t>Total Assets</t>
  </si>
  <si>
    <t>Liabilities &amp; Net Assets</t>
  </si>
  <si>
    <t xml:space="preserve">     Liabilities</t>
  </si>
  <si>
    <t xml:space="preserve">     Total Liabilities</t>
  </si>
  <si>
    <t xml:space="preserve">     Net Assets</t>
  </si>
  <si>
    <t xml:space="preserve">          Without Donor Restrictions</t>
  </si>
  <si>
    <t xml:space="preserve">               Undesignated</t>
  </si>
  <si>
    <t xml:space="preserve">               Designated</t>
  </si>
  <si>
    <t xml:space="preserve">          Total Without Donor Restrictions</t>
  </si>
  <si>
    <t xml:space="preserve">          With Donor Restrictions</t>
  </si>
  <si>
    <t xml:space="preserve">     Total Net Assets</t>
  </si>
  <si>
    <t>Total Liabilities &amp; Net Assets</t>
  </si>
  <si>
    <t xml:space="preserve">               Investment in Property and Equipment</t>
  </si>
  <si>
    <t>ENDING FUND BALANCE</t>
  </si>
  <si>
    <t>NET SURPLUS/(DEFICIT)</t>
  </si>
  <si>
    <t>BEGINNING FUND BALANCE</t>
  </si>
  <si>
    <t>Total Expenses</t>
  </si>
  <si>
    <t xml:space="preserve">     Total Supporting Services</t>
  </si>
  <si>
    <t xml:space="preserve">          Fundraising</t>
  </si>
  <si>
    <t xml:space="preserve">          General &amp; Administration</t>
  </si>
  <si>
    <t xml:space="preserve">     Supporting Services</t>
  </si>
  <si>
    <t xml:space="preserve">     Total Program Expenses</t>
  </si>
  <si>
    <t xml:space="preserve">          Future Ready Collier</t>
  </si>
  <si>
    <t xml:space="preserve">          Educators &amp; Teachers</t>
  </si>
  <si>
    <t xml:space="preserve">          Students &amp; Families</t>
  </si>
  <si>
    <t xml:space="preserve">     Program Expenses</t>
  </si>
  <si>
    <t>Expenses</t>
  </si>
  <si>
    <t>Total Income</t>
  </si>
  <si>
    <t xml:space="preserve">          Released from Restriction</t>
  </si>
  <si>
    <t xml:space="preserve">          Corporate Revenue</t>
  </si>
  <si>
    <t xml:space="preserve">          Individual Contributions / Family Foundations</t>
  </si>
  <si>
    <t xml:space="preserve">          Governmental Grants</t>
  </si>
  <si>
    <t xml:space="preserve">          Foundation Revenue &amp; Grants</t>
  </si>
  <si>
    <t>Income</t>
  </si>
  <si>
    <t>Statement of Activities</t>
  </si>
  <si>
    <t>Restricted</t>
  </si>
  <si>
    <t xml:space="preserve">     Printing and Copying</t>
  </si>
  <si>
    <t xml:space="preserve">     Postage and Shipping</t>
  </si>
  <si>
    <t xml:space="preserve">     Payroll Processing Fees</t>
  </si>
  <si>
    <t xml:space="preserve">     Insurance</t>
  </si>
  <si>
    <t xml:space="preserve">     Financial Service Fees</t>
  </si>
  <si>
    <t xml:space="preserve">     Software Licenses</t>
  </si>
  <si>
    <t xml:space="preserve">     Telecommunications &amp; Website</t>
  </si>
  <si>
    <t xml:space="preserve">     Equipment - Expendable</t>
  </si>
  <si>
    <t xml:space="preserve">     Equipment Leases</t>
  </si>
  <si>
    <t xml:space="preserve">     Office Supplies</t>
  </si>
  <si>
    <t xml:space="preserve">     Conferences, Conventions and Meetings</t>
  </si>
  <si>
    <t xml:space="preserve">     Marketing and Direct Donor Expense</t>
  </si>
  <si>
    <t xml:space="preserve">     Outreach and Education</t>
  </si>
  <si>
    <t xml:space="preserve">     Volunteer and Intern Expense</t>
  </si>
  <si>
    <t xml:space="preserve">     Transportation</t>
  </si>
  <si>
    <t xml:space="preserve">     Meals and Entertainment</t>
  </si>
  <si>
    <t xml:space="preserve">     General Program Materials</t>
  </si>
  <si>
    <t xml:space="preserve">     Grants to Third Parties</t>
  </si>
  <si>
    <t xml:space="preserve">     Scholarships</t>
  </si>
  <si>
    <t xml:space="preserve">     Occupancy</t>
  </si>
  <si>
    <t xml:space="preserve">     Professional Services</t>
  </si>
  <si>
    <t xml:space="preserve">     Personnel Expenses</t>
  </si>
  <si>
    <t>Total Supporting Services</t>
  </si>
  <si>
    <t>Fundraising</t>
  </si>
  <si>
    <t>Administration</t>
  </si>
  <si>
    <t>Total Program Services</t>
  </si>
  <si>
    <t>Educators &amp; Teachers</t>
  </si>
  <si>
    <t>Student  &amp; Families</t>
  </si>
  <si>
    <t>Supporting Services</t>
  </si>
  <si>
    <t>Program Services</t>
  </si>
  <si>
    <t xml:space="preserve">     Advertising</t>
  </si>
  <si>
    <t xml:space="preserve">     Dues, Publications and Subscriptions</t>
  </si>
  <si>
    <t xml:space="preserve">     School Services</t>
  </si>
  <si>
    <t>Total</t>
  </si>
  <si>
    <t xml:space="preserve">     Individual Contributions / Family Foundations</t>
  </si>
  <si>
    <t xml:space="preserve">     Governmental Grants</t>
  </si>
  <si>
    <t xml:space="preserve">     Foundation Revenue and Grants</t>
  </si>
  <si>
    <t>Budget Variance Report</t>
  </si>
  <si>
    <t>Net Assets with Restrictions</t>
  </si>
  <si>
    <t>Revenue</t>
  </si>
  <si>
    <t xml:space="preserve">Endowment  </t>
  </si>
  <si>
    <t>Capital - Building</t>
  </si>
  <si>
    <t xml:space="preserve">College &amp; Career Prep  </t>
  </si>
  <si>
    <t>Pre-Paid Scholarships</t>
  </si>
  <si>
    <t xml:space="preserve">College &amp; Career Preparation - Scholarships - Other  </t>
  </si>
  <si>
    <t xml:space="preserve">Endowment Release - Scholarship  </t>
  </si>
  <si>
    <t xml:space="preserve">Take Stock in Children - Scholarships  </t>
  </si>
  <si>
    <t xml:space="preserve">Entrepreneurship Program  </t>
  </si>
  <si>
    <t xml:space="preserve">Jump Start Scholarships  </t>
  </si>
  <si>
    <t xml:space="preserve">Forum Club  </t>
  </si>
  <si>
    <t xml:space="preserve">Press Club  </t>
  </si>
  <si>
    <t xml:space="preserve">Consortium Scholarship  </t>
  </si>
  <si>
    <t xml:space="preserve">Suncoast Scholarship  </t>
  </si>
  <si>
    <t xml:space="preserve">Carlin Student Scholarship  </t>
  </si>
  <si>
    <t xml:space="preserve">Teacher &amp; School Grants  </t>
  </si>
  <si>
    <t xml:space="preserve">License For Learning Grants  </t>
  </si>
  <si>
    <t xml:space="preserve">LJ MacCarthy Music Fund  </t>
  </si>
  <si>
    <t xml:space="preserve">Lal Gaynor Early Education &amp; Beyond  </t>
  </si>
  <si>
    <t xml:space="preserve">Principal Fellowship  </t>
  </si>
  <si>
    <t xml:space="preserve">Educator Grants - Other  </t>
  </si>
  <si>
    <t xml:space="preserve">Pi Beta Phi  </t>
  </si>
  <si>
    <t xml:space="preserve">Golden Apple Society  </t>
  </si>
  <si>
    <t xml:space="preserve">Future Ready Collier  </t>
  </si>
  <si>
    <t xml:space="preserve">Disaster Relief  </t>
  </si>
  <si>
    <t>Student and Families</t>
  </si>
  <si>
    <t>Endowment Fund</t>
  </si>
  <si>
    <t>Contributions</t>
  </si>
  <si>
    <t>Withdrawls</t>
  </si>
  <si>
    <t>Realized gains (losses)</t>
  </si>
  <si>
    <t>Unrealized gains (losses)</t>
  </si>
  <si>
    <t>Interest and dividends</t>
  </si>
  <si>
    <t>Administrative fees</t>
  </si>
  <si>
    <t>Endowment fund, ending balance</t>
  </si>
  <si>
    <t xml:space="preserve">Released </t>
  </si>
  <si>
    <t>Unrestricted</t>
  </si>
  <si>
    <t xml:space="preserve">     Travel</t>
  </si>
  <si>
    <t>The Education Foundation of Collier County, Inc</t>
  </si>
  <si>
    <t>Statement of Functional Expenses</t>
  </si>
  <si>
    <t xml:space="preserve">     Depreciation</t>
  </si>
  <si>
    <t>Technical Pathaways</t>
  </si>
  <si>
    <t>Program Percentage of Expenses</t>
  </si>
  <si>
    <t>General Student Programs</t>
  </si>
  <si>
    <t xml:space="preserve">     Awards and Recognition to Individuals</t>
  </si>
  <si>
    <t>Take Stock in Children Program</t>
  </si>
  <si>
    <t>General Educator Programs</t>
  </si>
  <si>
    <t xml:space="preserve">Staff positions not hired. </t>
  </si>
  <si>
    <t>Below the Line Items</t>
  </si>
  <si>
    <t xml:space="preserve">     Auction Expense</t>
  </si>
  <si>
    <t>Total Revenue</t>
  </si>
  <si>
    <t xml:space="preserve">     Personnel Expenses (including Accrued Vacation)</t>
  </si>
  <si>
    <t>Sue Filip Fund</t>
  </si>
  <si>
    <t>OPERATING NET SURPLUS/(DEFICIT)</t>
  </si>
  <si>
    <t xml:space="preserve">     State Registration and Licensing Fees</t>
  </si>
  <si>
    <t xml:space="preserve">          Investment Revenue</t>
  </si>
  <si>
    <t xml:space="preserve">     Investment Income</t>
  </si>
  <si>
    <t>Variance</t>
  </si>
  <si>
    <t xml:space="preserve">               Cash and Cash Equivalents (Everbank)</t>
  </si>
  <si>
    <t xml:space="preserve">               Cash and Cash Equivalents (Schwab)</t>
  </si>
  <si>
    <t xml:space="preserve">               Accounts Payable</t>
  </si>
  <si>
    <t xml:space="preserve">     Corporate/Organizational Revenue</t>
  </si>
  <si>
    <t xml:space="preserve">               Accrued Payroll &amp; Vacation</t>
  </si>
  <si>
    <t>Change in Value of Endowment</t>
  </si>
  <si>
    <t xml:space="preserve">    Less: Special Event Expenses</t>
  </si>
  <si>
    <t>Total Expenses By Function</t>
  </si>
  <si>
    <t>Interfund Transfer</t>
  </si>
  <si>
    <t xml:space="preserve">Farley Student Scholarship  </t>
  </si>
  <si>
    <t>Community Outreach</t>
  </si>
  <si>
    <t>Endowment fund, beginning balance, July 1, 2025</t>
  </si>
  <si>
    <t>Beginning Balance  07/01/2025</t>
  </si>
  <si>
    <t xml:space="preserve">     Awards and Recognition</t>
  </si>
  <si>
    <t>to be moved to endowment</t>
  </si>
  <si>
    <t>Educator/Giving Pathways/CFO</t>
  </si>
  <si>
    <t xml:space="preserve">          Program Service Revenue</t>
  </si>
  <si>
    <t xml:space="preserve">               Benefical Interest in Investments (held at CCF)</t>
  </si>
  <si>
    <t>OPERATING INCOME (NET)</t>
  </si>
  <si>
    <t xml:space="preserve"> Teacher Grants  </t>
  </si>
  <si>
    <t>FY25 Schoen $2.5M</t>
  </si>
  <si>
    <t>Increase in FY 26</t>
  </si>
  <si>
    <t>Ending Balance 12/31/2025</t>
  </si>
  <si>
    <t>For the Period July 1, 2025 - December 31, 2025</t>
  </si>
  <si>
    <t>Prior Year -July - Dec  2024</t>
  </si>
  <si>
    <t>December 31, 2025</t>
  </si>
  <si>
    <t>12/31/25</t>
  </si>
  <si>
    <t>12/31/24</t>
  </si>
  <si>
    <t>For the Period July 1 - December 31, 2025</t>
  </si>
  <si>
    <t>FY25 Daveler $50k &amp; Moorings $10k</t>
  </si>
  <si>
    <t xml:space="preserve">Timing </t>
  </si>
  <si>
    <t xml:space="preserve">FY 26 Total Projected </t>
  </si>
  <si>
    <t>Endowment Release</t>
  </si>
  <si>
    <t>FY 2026 Projections</t>
  </si>
  <si>
    <t>FY 26 Total Budget</t>
  </si>
  <si>
    <t>FY25 Donor of $100k in budget</t>
  </si>
  <si>
    <t>CFEF-$15k Resiliency/Suncoast &amp; Press Club scholarship grant $$ not in budget</t>
  </si>
  <si>
    <t>Awarded TOD double the amount budgeted</t>
  </si>
  <si>
    <t>GA Sponsorships</t>
  </si>
  <si>
    <t>FY 25 Donor of $100k in budget/NFC $60k off</t>
  </si>
  <si>
    <t>FY25 Daveler $50k &amp; Moorings $10k, Trinity $10k</t>
  </si>
  <si>
    <t>CFEF/Suncoast scholarship grant $$ not in budget</t>
  </si>
  <si>
    <t>July - Dec 2025 Actual</t>
  </si>
  <si>
    <t>Jan - June 2026 Projections</t>
  </si>
  <si>
    <t>FY 26 Totals</t>
  </si>
  <si>
    <t>CFEF $15k resiliency</t>
  </si>
  <si>
    <t>FY25 Disaster Relief $40k</t>
  </si>
  <si>
    <t>FY26 Double Awarded</t>
  </si>
  <si>
    <t>computers purchased FY25</t>
  </si>
  <si>
    <t>timing both years</t>
  </si>
  <si>
    <t>July - Dec 2025 Total</t>
  </si>
  <si>
    <t>FY 2025 Totals</t>
  </si>
  <si>
    <t>July - Dec 2025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</si>
</sst>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;\([$$-409]#,##0\);[$$-409]#,##0"/>
  </numFmts>
  <fonts count="3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entury Gothic"/>
      <family val="2"/>
    </font>
    <font>
      <i/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sz val="8"/>
      <color rgb="FF000000"/>
      <name val="Century Gothic"/>
      <family val="2"/>
    </font>
    <font>
      <i/>
      <sz val="9"/>
      <color rgb="FF000000"/>
      <name val="Century Gothic"/>
      <family val="2"/>
    </font>
    <font>
      <b/>
      <i/>
      <sz val="8"/>
      <color rgb="FF000000"/>
      <name val="Century Gothic"/>
      <family val="2"/>
    </font>
    <font>
      <b/>
      <i/>
      <sz val="9"/>
      <color rgb="FF000000"/>
      <name val="Century Gothic"/>
      <family val="2"/>
    </font>
    <font>
      <sz val="11"/>
      <color rgb="FFFF0000"/>
      <name val="Century Gothic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i/>
      <sz val="10"/>
      <color rgb="FF000000"/>
      <name val="Century Gothic"/>
      <family val="2"/>
    </font>
    <font>
      <i/>
      <sz val="10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55">
    <xf numFmtId="0" fontId="0" fillId="0" borderId="0" xfId="0"/>
    <xf numFmtId="0" fontId="6" fillId="0" borderId="0" xfId="0" applyFont="1"/>
    <xf numFmtId="0" fontId="5" fillId="0" borderId="0" xfId="0" applyFont="1"/>
    <xf numFmtId="49" fontId="7" fillId="0" borderId="0" xfId="0" applyNumberFormat="1" applyFont="1" applyAlignment="1">
      <alignment vertical="top"/>
    </xf>
    <xf numFmtId="0" fontId="9" fillId="0" borderId="0" xfId="0" applyFont="1"/>
    <xf numFmtId="164" fontId="10" fillId="0" borderId="0" xfId="1" applyNumberFormat="1" applyFont="1" applyAlignment="1">
      <alignment horizontal="right" vertical="top"/>
    </xf>
    <xf numFmtId="164" fontId="10" fillId="0" borderId="2" xfId="1" applyNumberFormat="1" applyFont="1" applyBorder="1" applyAlignment="1">
      <alignment horizontal="right" vertical="top"/>
    </xf>
    <xf numFmtId="164" fontId="9" fillId="0" borderId="0" xfId="1" applyNumberFormat="1" applyFont="1"/>
    <xf numFmtId="164" fontId="10" fillId="0" borderId="3" xfId="1" applyNumberFormat="1" applyFont="1" applyBorder="1" applyAlignment="1">
      <alignment horizontal="right" vertical="top"/>
    </xf>
    <xf numFmtId="164" fontId="10" fillId="0" borderId="0" xfId="1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164" fontId="9" fillId="0" borderId="0" xfId="1" applyNumberFormat="1" applyFont="1" applyBorder="1"/>
    <xf numFmtId="0" fontId="9" fillId="0" borderId="0" xfId="3" applyFont="1"/>
    <xf numFmtId="164" fontId="10" fillId="0" borderId="1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5" xfId="1" applyNumberFormat="1" applyFont="1" applyBorder="1" applyAlignment="1">
      <alignment horizontal="right" vertical="top"/>
    </xf>
    <xf numFmtId="0" fontId="6" fillId="0" borderId="0" xfId="3" applyFont="1"/>
    <xf numFmtId="0" fontId="5" fillId="0" borderId="0" xfId="3" applyFont="1"/>
    <xf numFmtId="49" fontId="5" fillId="0" borderId="1" xfId="3" applyNumberFormat="1" applyFont="1" applyBorder="1" applyAlignment="1">
      <alignment horizontal="center" wrapText="1"/>
    </xf>
    <xf numFmtId="49" fontId="5" fillId="0" borderId="1" xfId="3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3" applyFont="1"/>
    <xf numFmtId="49" fontId="5" fillId="0" borderId="1" xfId="0" applyNumberFormat="1" applyFont="1" applyBorder="1" applyAlignment="1">
      <alignment horizontal="center" wrapText="1"/>
    </xf>
    <xf numFmtId="0" fontId="14" fillId="0" borderId="0" xfId="6" applyFont="1"/>
    <xf numFmtId="0" fontId="15" fillId="0" borderId="0" xfId="6" applyFont="1"/>
    <xf numFmtId="0" fontId="16" fillId="0" borderId="0" xfId="6" applyFont="1"/>
    <xf numFmtId="14" fontId="17" fillId="0" borderId="4" xfId="6" applyNumberFormat="1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8" fillId="0" borderId="0" xfId="6" applyFont="1"/>
    <xf numFmtId="164" fontId="9" fillId="0" borderId="0" xfId="7" applyNumberFormat="1" applyFont="1"/>
    <xf numFmtId="164" fontId="4" fillId="0" borderId="0" xfId="7" applyNumberFormat="1" applyFont="1"/>
    <xf numFmtId="164" fontId="9" fillId="0" borderId="4" xfId="7" applyNumberFormat="1" applyFont="1" applyBorder="1"/>
    <xf numFmtId="164" fontId="4" fillId="0" borderId="4" xfId="7" applyNumberFormat="1" applyFont="1" applyBorder="1"/>
    <xf numFmtId="164" fontId="17" fillId="0" borderId="0" xfId="7" applyNumberFormat="1" applyFont="1"/>
    <xf numFmtId="9" fontId="16" fillId="0" borderId="0" xfId="8" applyFont="1"/>
    <xf numFmtId="0" fontId="19" fillId="0" borderId="0" xfId="6" applyFont="1"/>
    <xf numFmtId="43" fontId="16" fillId="0" borderId="0" xfId="6" applyNumberFormat="1" applyFont="1"/>
    <xf numFmtId="164" fontId="16" fillId="0" borderId="0" xfId="6" applyNumberFormat="1" applyFont="1"/>
    <xf numFmtId="9" fontId="11" fillId="0" borderId="0" xfId="2" applyFont="1"/>
    <xf numFmtId="49" fontId="5" fillId="0" borderId="0" xfId="3" applyNumberFormat="1" applyFont="1" applyAlignment="1">
      <alignment vertical="top"/>
    </xf>
    <xf numFmtId="0" fontId="7" fillId="0" borderId="0" xfId="3" applyFont="1" applyAlignment="1">
      <alignment vertical="top"/>
    </xf>
    <xf numFmtId="164" fontId="10" fillId="0" borderId="6" xfId="1" applyNumberFormat="1" applyFont="1" applyBorder="1" applyAlignment="1">
      <alignment horizontal="right" vertical="top"/>
    </xf>
    <xf numFmtId="164" fontId="6" fillId="0" borderId="0" xfId="0" applyNumberFormat="1" applyFont="1"/>
    <xf numFmtId="0" fontId="12" fillId="0" borderId="0" xfId="3" applyFont="1"/>
    <xf numFmtId="164" fontId="11" fillId="0" borderId="0" xfId="3" applyNumberFormat="1" applyFont="1"/>
    <xf numFmtId="164" fontId="13" fillId="0" borderId="0" xfId="0" applyNumberFormat="1" applyFont="1"/>
    <xf numFmtId="164" fontId="13" fillId="0" borderId="0" xfId="3" applyNumberFormat="1" applyFont="1"/>
    <xf numFmtId="43" fontId="6" fillId="0" borderId="0" xfId="0" applyNumberFormat="1" applyFont="1"/>
    <xf numFmtId="164" fontId="6" fillId="0" borderId="0" xfId="1" applyNumberFormat="1" applyFont="1"/>
    <xf numFmtId="0" fontId="21" fillId="0" borderId="0" xfId="3" applyFont="1"/>
    <xf numFmtId="164" fontId="21" fillId="0" borderId="0" xfId="3" applyNumberFormat="1" applyFont="1"/>
    <xf numFmtId="164" fontId="6" fillId="0" borderId="0" xfId="3" applyNumberFormat="1" applyFont="1"/>
    <xf numFmtId="49" fontId="5" fillId="0" borderId="4" xfId="3" applyNumberFormat="1" applyFont="1" applyBorder="1" applyAlignment="1">
      <alignment horizontal="center" wrapText="1"/>
    </xf>
    <xf numFmtId="0" fontId="20" fillId="0" borderId="0" xfId="3" applyFont="1"/>
    <xf numFmtId="164" fontId="9" fillId="0" borderId="6" xfId="1" applyNumberFormat="1" applyFont="1" applyBorder="1"/>
    <xf numFmtId="0" fontId="22" fillId="0" borderId="0" xfId="3" applyFont="1"/>
    <xf numFmtId="164" fontId="11" fillId="0" borderId="0" xfId="1" applyNumberFormat="1" applyFont="1"/>
    <xf numFmtId="164" fontId="11" fillId="0" borderId="7" xfId="1" applyNumberFormat="1" applyFont="1" applyBorder="1"/>
    <xf numFmtId="0" fontId="12" fillId="0" borderId="8" xfId="0" applyFont="1" applyBorder="1"/>
    <xf numFmtId="0" fontId="12" fillId="0" borderId="9" xfId="0" applyFont="1" applyBorder="1"/>
    <xf numFmtId="164" fontId="12" fillId="0" borderId="9" xfId="0" applyNumberFormat="1" applyFont="1" applyBorder="1"/>
    <xf numFmtId="0" fontId="23" fillId="0" borderId="10" xfId="0" applyFont="1" applyBorder="1"/>
    <xf numFmtId="0" fontId="12" fillId="0" borderId="11" xfId="0" applyFont="1" applyBorder="1"/>
    <xf numFmtId="0" fontId="13" fillId="0" borderId="12" xfId="0" applyFont="1" applyBorder="1"/>
    <xf numFmtId="0" fontId="6" fillId="0" borderId="11" xfId="0" applyFont="1" applyBorder="1"/>
    <xf numFmtId="164" fontId="6" fillId="0" borderId="0" xfId="1" applyNumberFormat="1" applyFont="1" applyBorder="1"/>
    <xf numFmtId="0" fontId="20" fillId="0" borderId="0" xfId="0" applyFont="1" applyAlignment="1">
      <alignment vertical="top"/>
    </xf>
    <xf numFmtId="164" fontId="8" fillId="0" borderId="0" xfId="1" applyNumberFormat="1" applyFont="1" applyBorder="1" applyAlignment="1">
      <alignment horizontal="right" vertical="top"/>
    </xf>
    <xf numFmtId="43" fontId="6" fillId="0" borderId="0" xfId="1" applyFont="1"/>
    <xf numFmtId="0" fontId="12" fillId="0" borderId="4" xfId="3" applyFont="1" applyBorder="1" applyAlignment="1">
      <alignment horizontal="center" wrapText="1"/>
    </xf>
    <xf numFmtId="37" fontId="10" fillId="0" borderId="0" xfId="0" applyNumberFormat="1" applyFont="1" applyAlignment="1">
      <alignment horizontal="right" vertical="top"/>
    </xf>
    <xf numFmtId="164" fontId="10" fillId="0" borderId="0" xfId="1" applyNumberFormat="1" applyFont="1" applyFill="1" applyAlignment="1">
      <alignment horizontal="right" vertical="top"/>
    </xf>
    <xf numFmtId="165" fontId="6" fillId="0" borderId="0" xfId="0" applyNumberFormat="1" applyFont="1"/>
    <xf numFmtId="164" fontId="25" fillId="0" borderId="0" xfId="0" applyNumberFormat="1" applyFont="1"/>
    <xf numFmtId="164" fontId="9" fillId="0" borderId="0" xfId="1" applyNumberFormat="1" applyFont="1" applyFill="1"/>
    <xf numFmtId="164" fontId="9" fillId="0" borderId="0" xfId="0" applyNumberFormat="1" applyFont="1"/>
    <xf numFmtId="164" fontId="12" fillId="0" borderId="0" xfId="1" applyNumberFormat="1" applyFont="1"/>
    <xf numFmtId="164" fontId="12" fillId="0" borderId="4" xfId="1" applyNumberFormat="1" applyFont="1" applyBorder="1" applyAlignment="1">
      <alignment horizontal="center" wrapText="1"/>
    </xf>
    <xf numFmtId="37" fontId="9" fillId="0" borderId="0" xfId="11" applyNumberFormat="1" applyFont="1" applyAlignment="1">
      <alignment horizontal="right"/>
    </xf>
    <xf numFmtId="43" fontId="6" fillId="0" borderId="0" xfId="3" applyNumberFormat="1" applyFont="1"/>
    <xf numFmtId="164" fontId="11" fillId="0" borderId="0" xfId="7" applyNumberFormat="1" applyFont="1"/>
    <xf numFmtId="0" fontId="11" fillId="0" borderId="0" xfId="3" applyFont="1"/>
    <xf numFmtId="164" fontId="9" fillId="0" borderId="0" xfId="3" applyNumberFormat="1" applyFont="1"/>
    <xf numFmtId="0" fontId="11" fillId="0" borderId="4" xfId="3" applyFont="1" applyBorder="1" applyAlignment="1">
      <alignment horizontal="center"/>
    </xf>
    <xf numFmtId="0" fontId="23" fillId="0" borderId="12" xfId="0" applyFont="1" applyBorder="1"/>
    <xf numFmtId="165" fontId="9" fillId="0" borderId="0" xfId="0" applyNumberFormat="1" applyFont="1"/>
    <xf numFmtId="164" fontId="11" fillId="0" borderId="4" xfId="3" applyNumberFormat="1" applyFont="1" applyBorder="1"/>
    <xf numFmtId="164" fontId="11" fillId="0" borderId="4" xfId="1" applyNumberFormat="1" applyFont="1" applyBorder="1"/>
    <xf numFmtId="0" fontId="6" fillId="2" borderId="0" xfId="3" applyFont="1" applyFill="1"/>
    <xf numFmtId="164" fontId="6" fillId="2" borderId="0" xfId="3" applyNumberFormat="1" applyFont="1" applyFill="1"/>
    <xf numFmtId="0" fontId="12" fillId="2" borderId="0" xfId="3" applyFont="1" applyFill="1"/>
    <xf numFmtId="0" fontId="12" fillId="2" borderId="4" xfId="3" applyFont="1" applyFill="1" applyBorder="1"/>
    <xf numFmtId="164" fontId="11" fillId="0" borderId="0" xfId="1" applyNumberFormat="1" applyFont="1" applyBorder="1"/>
    <xf numFmtId="164" fontId="9" fillId="0" borderId="4" xfId="1" applyNumberFormat="1" applyFont="1" applyBorder="1"/>
    <xf numFmtId="0" fontId="6" fillId="2" borderId="4" xfId="3" applyFont="1" applyFill="1" applyBorder="1"/>
    <xf numFmtId="164" fontId="11" fillId="0" borderId="6" xfId="3" applyNumberFormat="1" applyFont="1" applyBorder="1"/>
    <xf numFmtId="0" fontId="12" fillId="2" borderId="6" xfId="3" applyFont="1" applyFill="1" applyBorder="1"/>
    <xf numFmtId="164" fontId="11" fillId="0" borderId="6" xfId="1" applyNumberFormat="1" applyFont="1" applyBorder="1"/>
    <xf numFmtId="49" fontId="5" fillId="0" borderId="0" xfId="12" applyNumberFormat="1" applyFont="1" applyAlignment="1">
      <alignment vertical="top"/>
    </xf>
    <xf numFmtId="0" fontId="6" fillId="0" borderId="0" xfId="12" applyFont="1"/>
    <xf numFmtId="0" fontId="22" fillId="0" borderId="0" xfId="12" applyFont="1"/>
    <xf numFmtId="43" fontId="6" fillId="0" borderId="0" xfId="13" applyFont="1"/>
    <xf numFmtId="49" fontId="5" fillId="0" borderId="1" xfId="12" applyNumberFormat="1" applyFont="1" applyBorder="1" applyAlignment="1">
      <alignment horizontal="center" wrapText="1"/>
    </xf>
    <xf numFmtId="49" fontId="5" fillId="0" borderId="1" xfId="12" applyNumberFormat="1" applyFont="1" applyBorder="1" applyAlignment="1">
      <alignment horizontal="center"/>
    </xf>
    <xf numFmtId="49" fontId="7" fillId="0" borderId="0" xfId="12" applyNumberFormat="1" applyFont="1" applyAlignment="1">
      <alignment vertical="top"/>
    </xf>
    <xf numFmtId="38" fontId="10" fillId="0" borderId="0" xfId="13" applyNumberFormat="1" applyFont="1" applyAlignment="1">
      <alignment horizontal="right" vertical="top"/>
    </xf>
    <xf numFmtId="164" fontId="10" fillId="0" borderId="0" xfId="13" applyNumberFormat="1" applyFont="1" applyAlignment="1">
      <alignment horizontal="right" vertical="top"/>
    </xf>
    <xf numFmtId="164" fontId="6" fillId="0" borderId="0" xfId="12" applyNumberFormat="1" applyFont="1"/>
    <xf numFmtId="164" fontId="9" fillId="0" borderId="0" xfId="13" applyNumberFormat="1" applyFont="1"/>
    <xf numFmtId="38" fontId="6" fillId="0" borderId="0" xfId="12" applyNumberFormat="1" applyFont="1"/>
    <xf numFmtId="38" fontId="9" fillId="0" borderId="0" xfId="14" applyNumberFormat="1" applyFont="1"/>
    <xf numFmtId="38" fontId="10" fillId="0" borderId="0" xfId="13" applyNumberFormat="1" applyFont="1" applyFill="1" applyAlignment="1">
      <alignment horizontal="right" vertical="top"/>
    </xf>
    <xf numFmtId="38" fontId="10" fillId="0" borderId="1" xfId="13" applyNumberFormat="1" applyFont="1" applyBorder="1" applyAlignment="1">
      <alignment horizontal="right" vertical="top"/>
    </xf>
    <xf numFmtId="164" fontId="10" fillId="0" borderId="4" xfId="13" applyNumberFormat="1" applyFont="1" applyBorder="1" applyAlignment="1">
      <alignment horizontal="right" vertical="top"/>
    </xf>
    <xf numFmtId="164" fontId="8" fillId="0" borderId="0" xfId="13" applyNumberFormat="1" applyFont="1" applyAlignment="1">
      <alignment horizontal="right" vertical="top"/>
    </xf>
    <xf numFmtId="0" fontId="12" fillId="0" borderId="0" xfId="12" applyFont="1"/>
    <xf numFmtId="0" fontId="24" fillId="0" borderId="0" xfId="12" applyFont="1"/>
    <xf numFmtId="43" fontId="12" fillId="0" borderId="0" xfId="13" applyFont="1"/>
    <xf numFmtId="164" fontId="6" fillId="0" borderId="0" xfId="13" applyNumberFormat="1" applyFont="1"/>
    <xf numFmtId="164" fontId="6" fillId="0" borderId="8" xfId="0" applyNumberFormat="1" applyFont="1" applyBorder="1"/>
    <xf numFmtId="164" fontId="6" fillId="0" borderId="13" xfId="0" applyNumberFormat="1" applyFont="1" applyBorder="1"/>
    <xf numFmtId="164" fontId="22" fillId="0" borderId="0" xfId="1" applyNumberFormat="1" applyFont="1"/>
    <xf numFmtId="0" fontId="6" fillId="0" borderId="10" xfId="0" applyFont="1" applyBorder="1"/>
    <xf numFmtId="0" fontId="6" fillId="0" borderId="12" xfId="0" applyFont="1" applyBorder="1"/>
    <xf numFmtId="0" fontId="6" fillId="0" borderId="15" xfId="0" applyFont="1" applyBorder="1"/>
    <xf numFmtId="164" fontId="12" fillId="0" borderId="0" xfId="0" applyNumberFormat="1" applyFont="1"/>
    <xf numFmtId="0" fontId="6" fillId="0" borderId="13" xfId="0" applyFont="1" applyBorder="1"/>
    <xf numFmtId="0" fontId="6" fillId="0" borderId="14" xfId="0" applyFont="1" applyBorder="1"/>
    <xf numFmtId="0" fontId="13" fillId="0" borderId="15" xfId="0" applyFont="1" applyBorder="1"/>
    <xf numFmtId="0" fontId="24" fillId="0" borderId="0" xfId="3" applyFont="1"/>
    <xf numFmtId="43" fontId="12" fillId="0" borderId="0" xfId="1" applyFont="1"/>
    <xf numFmtId="41" fontId="9" fillId="0" borderId="0" xfId="11" applyNumberFormat="1" applyFont="1"/>
    <xf numFmtId="0" fontId="28" fillId="0" borderId="0" xfId="3" applyFont="1"/>
    <xf numFmtId="0" fontId="29" fillId="0" borderId="0" xfId="3" applyFont="1"/>
    <xf numFmtId="49" fontId="5" fillId="0" borderId="4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164" fontId="8" fillId="0" borderId="6" xfId="1" applyNumberFormat="1" applyFont="1" applyBorder="1" applyAlignment="1">
      <alignment horizontal="right" vertical="top"/>
    </xf>
    <xf numFmtId="164" fontId="6" fillId="0" borderId="16" xfId="0" applyNumberFormat="1" applyFont="1" applyBorder="1"/>
    <xf numFmtId="49" fontId="5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5" fillId="0" borderId="0" xfId="0" applyFont="1"/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5" fillId="0" borderId="0" xfId="3" applyNumberFormat="1" applyFont="1" applyAlignment="1">
      <alignment vertical="top"/>
    </xf>
    <xf numFmtId="49" fontId="7" fillId="0" borderId="0" xfId="3" applyNumberFormat="1" applyFont="1" applyAlignment="1">
      <alignment vertical="top"/>
    </xf>
    <xf numFmtId="0" fontId="20" fillId="0" borderId="0" xfId="3" applyFont="1" applyAlignment="1">
      <alignment vertical="top"/>
    </xf>
    <xf numFmtId="0" fontId="5" fillId="0" borderId="0" xfId="3" applyFont="1"/>
    <xf numFmtId="49" fontId="5" fillId="0" borderId="1" xfId="3" applyNumberFormat="1" applyFont="1" applyBorder="1" applyAlignment="1">
      <alignment horizontal="center"/>
    </xf>
    <xf numFmtId="49" fontId="7" fillId="0" borderId="0" xfId="12" applyNumberFormat="1" applyFont="1" applyAlignment="1">
      <alignment vertical="top"/>
    </xf>
    <xf numFmtId="49" fontId="5" fillId="0" borderId="0" xfId="12" applyNumberFormat="1" applyFont="1" applyAlignment="1">
      <alignment vertical="top"/>
    </xf>
    <xf numFmtId="14" fontId="5" fillId="0" borderId="0" xfId="12" applyNumberFormat="1" applyFont="1" applyAlignment="1">
      <alignment horizontal="left" vertical="top"/>
    </xf>
    <xf numFmtId="0" fontId="5" fillId="0" borderId="0" xfId="12" applyFont="1"/>
  </cellXfs>
  <cellStyles count="15">
    <cellStyle name="Comma" xfId="1" builtinId="3"/>
    <cellStyle name="Comma 15" xfId="7" xr:uid="{6CCEB3B4-6AC0-482E-8D83-96C96532D44E}"/>
    <cellStyle name="Comma 2" xfId="5" xr:uid="{090C36C7-8B93-422C-95BF-82FFBF34C7D2}"/>
    <cellStyle name="Comma 3" xfId="10" xr:uid="{3365F7AC-2262-4D49-BFD2-5EACF6BABBE2}"/>
    <cellStyle name="Comma 3 2" xfId="13" xr:uid="{958AD8E2-CFDA-4488-98EF-574B7065434A}"/>
    <cellStyle name="Comma 4" xfId="14" xr:uid="{EF62BD33-FACC-4618-96E9-E83254F0363F}"/>
    <cellStyle name="Currency" xfId="11" builtinId="4"/>
    <cellStyle name="Normal" xfId="0" builtinId="0"/>
    <cellStyle name="Normal 11" xfId="6" xr:uid="{C671A48E-5472-449E-9D19-6630DC90544E}"/>
    <cellStyle name="Normal 2" xfId="3" xr:uid="{29ACA96F-D79E-453D-BF6F-B5F1DEF5D8C7}"/>
    <cellStyle name="Normal 3" xfId="4" xr:uid="{6CCC442A-CB1F-43F5-B5A5-AF9814687AF4}"/>
    <cellStyle name="Normal 3 2" xfId="12" xr:uid="{73656519-9FAD-44D4-A411-301ACB0E628B}"/>
    <cellStyle name="Normal 4" xfId="9" xr:uid="{0D304731-ACBA-45F1-AA42-A288A7FE1360}"/>
    <cellStyle name="Percent" xfId="2" builtinId="5"/>
    <cellStyle name="Percent 2" xfId="8" xr:uid="{E6AA77DC-3FCE-4BC1-9BF3-383D67B26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zoomScale="90" zoomScaleNormal="90" workbookViewId="0">
      <selection activeCell="K24" sqref="K24"/>
    </sheetView>
  </sheetViews>
  <sheetFormatPr defaultRowHeight="16.5" x14ac:dyDescent="0.3"/>
  <cols>
    <col min="1" max="1" width="14.5703125" style="1" customWidth="1"/>
    <col min="2" max="2" width="7.5703125" style="1" customWidth="1"/>
    <col min="3" max="3" width="38.7109375" style="1" customWidth="1"/>
    <col min="4" max="4" width="14.85546875" style="1" customWidth="1"/>
    <col min="5" max="5" width="3.140625" style="1" customWidth="1"/>
    <col min="6" max="6" width="13.28515625" style="1" customWidth="1"/>
    <col min="7" max="7" width="3.5703125" style="23" customWidth="1"/>
    <col min="8" max="8" width="13.140625" style="124" customWidth="1"/>
    <col min="9" max="9" width="11.5703125" style="1" bestFit="1" customWidth="1"/>
    <col min="10" max="10" width="14.5703125" style="1" bestFit="1" customWidth="1"/>
    <col min="11" max="12" width="9.85546875" style="1" bestFit="1" customWidth="1"/>
    <col min="13" max="15" width="9.140625" style="1"/>
    <col min="16" max="16" width="12.5703125" style="1" customWidth="1"/>
    <col min="17" max="16384" width="9.140625" style="1"/>
  </cols>
  <sheetData>
    <row r="1" spans="1:12" ht="19.899999999999999" customHeight="1" x14ac:dyDescent="0.3">
      <c r="A1" s="141" t="s">
        <v>0</v>
      </c>
      <c r="B1" s="141"/>
      <c r="C1" s="141"/>
      <c r="D1" s="141"/>
      <c r="E1" s="141"/>
      <c r="F1" s="141"/>
    </row>
    <row r="2" spans="1:12" ht="19.899999999999999" customHeight="1" x14ac:dyDescent="0.3">
      <c r="A2" s="141" t="s">
        <v>1</v>
      </c>
      <c r="B2" s="141"/>
      <c r="C2" s="141"/>
      <c r="D2" s="141"/>
      <c r="E2" s="141"/>
      <c r="F2" s="141"/>
    </row>
    <row r="3" spans="1:12" ht="16.899999999999999" customHeight="1" x14ac:dyDescent="0.3">
      <c r="A3" s="141" t="s">
        <v>163</v>
      </c>
      <c r="B3" s="141"/>
      <c r="C3" s="141"/>
      <c r="D3" s="141"/>
      <c r="E3" s="141"/>
      <c r="F3" s="141"/>
    </row>
    <row r="4" spans="1:12" ht="15.75" customHeight="1" x14ac:dyDescent="0.3">
      <c r="A4" s="142"/>
      <c r="B4" s="142"/>
      <c r="C4" s="142"/>
      <c r="D4" s="142"/>
      <c r="E4" s="142"/>
      <c r="F4" s="142"/>
    </row>
    <row r="5" spans="1:12" ht="15.75" customHeight="1" x14ac:dyDescent="0.3">
      <c r="A5" s="2"/>
      <c r="B5" s="143"/>
      <c r="C5" s="143"/>
      <c r="D5" s="12" t="s">
        <v>164</v>
      </c>
      <c r="E5" s="11"/>
      <c r="F5" s="12" t="s">
        <v>165</v>
      </c>
    </row>
    <row r="6" spans="1:12" ht="15.75" customHeight="1" x14ac:dyDescent="0.3">
      <c r="A6" s="144" t="s">
        <v>2</v>
      </c>
      <c r="B6" s="144"/>
      <c r="C6" s="144"/>
      <c r="D6" s="4"/>
      <c r="E6" s="4"/>
      <c r="F6" s="4"/>
    </row>
    <row r="7" spans="1:12" ht="15.75" customHeight="1" x14ac:dyDescent="0.3">
      <c r="A7" s="144" t="s">
        <v>138</v>
      </c>
      <c r="B7" s="144"/>
      <c r="C7" s="144"/>
      <c r="D7" s="81">
        <v>416807.67999999999</v>
      </c>
      <c r="E7" s="9"/>
      <c r="F7" s="7">
        <v>631933.44999999995</v>
      </c>
      <c r="I7" s="76"/>
      <c r="J7" s="50"/>
    </row>
    <row r="8" spans="1:12" ht="15.75" customHeight="1" x14ac:dyDescent="0.3">
      <c r="A8" s="144" t="s">
        <v>139</v>
      </c>
      <c r="B8" s="144"/>
      <c r="C8" s="144"/>
      <c r="D8" s="134">
        <v>1932673.6400000001</v>
      </c>
      <c r="E8" s="88"/>
      <c r="F8" s="88">
        <v>1806350.6</v>
      </c>
      <c r="I8" s="76"/>
      <c r="J8" s="50"/>
    </row>
    <row r="9" spans="1:12" ht="15.75" customHeight="1" x14ac:dyDescent="0.3">
      <c r="A9" s="144" t="s">
        <v>3</v>
      </c>
      <c r="B9" s="144"/>
      <c r="C9" s="144"/>
      <c r="D9" s="5">
        <v>1519195.39</v>
      </c>
      <c r="E9" s="9"/>
      <c r="F9" s="7">
        <v>1728210.76</v>
      </c>
      <c r="I9" s="76"/>
      <c r="J9" s="71"/>
      <c r="K9" s="45"/>
      <c r="L9" s="45"/>
    </row>
    <row r="10" spans="1:12" ht="15.75" customHeight="1" x14ac:dyDescent="0.3">
      <c r="A10" s="144" t="s">
        <v>4</v>
      </c>
      <c r="B10" s="144"/>
      <c r="C10" s="144"/>
      <c r="D10" s="74">
        <v>0</v>
      </c>
      <c r="E10" s="9"/>
      <c r="F10" s="7">
        <v>15299</v>
      </c>
      <c r="I10" s="76"/>
    </row>
    <row r="11" spans="1:12" ht="15.75" customHeight="1" x14ac:dyDescent="0.3">
      <c r="A11" s="144" t="s">
        <v>155</v>
      </c>
      <c r="B11" s="144"/>
      <c r="C11" s="144"/>
      <c r="D11" s="74">
        <v>5503095</v>
      </c>
      <c r="E11" s="9"/>
      <c r="F11" s="7">
        <v>3760342.57</v>
      </c>
      <c r="I11" s="76"/>
      <c r="J11" s="75"/>
    </row>
    <row r="12" spans="1:12" ht="15.75" customHeight="1" x14ac:dyDescent="0.3">
      <c r="A12" s="144" t="s">
        <v>5</v>
      </c>
      <c r="B12" s="144"/>
      <c r="C12" s="144"/>
      <c r="D12" s="5">
        <v>1746964.96</v>
      </c>
      <c r="E12" s="9"/>
      <c r="F12" s="7">
        <v>1847147.75</v>
      </c>
      <c r="I12" s="76"/>
      <c r="J12" s="45"/>
    </row>
    <row r="13" spans="1:12" ht="15.75" customHeight="1" thickBot="1" x14ac:dyDescent="0.35">
      <c r="A13" s="144" t="s">
        <v>6</v>
      </c>
      <c r="B13" s="144"/>
      <c r="C13" s="144"/>
      <c r="D13" s="6">
        <f>SUM(D7:D12)</f>
        <v>11118736.670000002</v>
      </c>
      <c r="E13" s="9"/>
      <c r="F13" s="6">
        <f>SUM(F7:F12)</f>
        <v>9789284.129999999</v>
      </c>
      <c r="I13" s="76"/>
    </row>
    <row r="14" spans="1:12" ht="15.75" customHeight="1" thickTop="1" x14ac:dyDescent="0.3">
      <c r="D14" s="7"/>
      <c r="E14" s="13"/>
      <c r="F14" s="7"/>
    </row>
    <row r="15" spans="1:12" ht="15.75" customHeight="1" x14ac:dyDescent="0.3">
      <c r="A15" s="144" t="s">
        <v>7</v>
      </c>
      <c r="B15" s="144"/>
      <c r="C15" s="144"/>
      <c r="D15" s="7"/>
      <c r="E15" s="13"/>
      <c r="F15" s="7"/>
    </row>
    <row r="16" spans="1:12" ht="15.75" customHeight="1" x14ac:dyDescent="0.3">
      <c r="A16" s="144" t="s">
        <v>8</v>
      </c>
      <c r="B16" s="144"/>
      <c r="C16" s="144"/>
      <c r="D16" s="7"/>
      <c r="E16" s="13"/>
      <c r="F16" s="7"/>
    </row>
    <row r="17" spans="1:9" ht="15.75" customHeight="1" x14ac:dyDescent="0.3">
      <c r="A17" s="144" t="s">
        <v>140</v>
      </c>
      <c r="B17" s="144"/>
      <c r="C17" s="144"/>
      <c r="D17" s="78">
        <v>29630.38</v>
      </c>
      <c r="E17" s="9"/>
      <c r="F17" s="7">
        <v>3167.41</v>
      </c>
    </row>
    <row r="18" spans="1:9" ht="15.75" customHeight="1" x14ac:dyDescent="0.3">
      <c r="A18" s="145" t="s">
        <v>142</v>
      </c>
      <c r="B18" s="145"/>
      <c r="C18" s="145"/>
      <c r="D18" s="78">
        <v>40870.11</v>
      </c>
      <c r="E18" s="9"/>
      <c r="F18" s="7">
        <v>49675.57</v>
      </c>
    </row>
    <row r="19" spans="1:9" ht="15.75" customHeight="1" x14ac:dyDescent="0.3">
      <c r="A19" s="144" t="s">
        <v>9</v>
      </c>
      <c r="B19" s="144"/>
      <c r="C19" s="144"/>
      <c r="D19" s="8">
        <f>SUM(D17:D18)</f>
        <v>70500.490000000005</v>
      </c>
      <c r="E19" s="9"/>
      <c r="F19" s="8">
        <f>SUM(F17:F18)</f>
        <v>52842.979999999996</v>
      </c>
      <c r="G19" s="9"/>
    </row>
    <row r="20" spans="1:9" ht="15.75" customHeight="1" x14ac:dyDescent="0.3">
      <c r="D20" s="7"/>
      <c r="E20" s="13"/>
      <c r="F20" s="7"/>
      <c r="I20" s="45"/>
    </row>
    <row r="21" spans="1:9" ht="15.75" customHeight="1" x14ac:dyDescent="0.3">
      <c r="A21" s="144" t="s">
        <v>10</v>
      </c>
      <c r="B21" s="144"/>
      <c r="C21" s="144"/>
      <c r="D21" s="7"/>
      <c r="E21" s="13"/>
      <c r="F21" s="7"/>
    </row>
    <row r="22" spans="1:9" ht="15.75" customHeight="1" x14ac:dyDescent="0.3">
      <c r="A22" s="144" t="s">
        <v>11</v>
      </c>
      <c r="B22" s="144"/>
      <c r="C22" s="144"/>
      <c r="D22" s="7"/>
      <c r="E22" s="13"/>
      <c r="F22" s="7"/>
    </row>
    <row r="23" spans="1:9" ht="15.75" customHeight="1" x14ac:dyDescent="0.3">
      <c r="A23" s="144" t="s">
        <v>12</v>
      </c>
      <c r="B23" s="144"/>
      <c r="C23" s="144"/>
      <c r="D23" s="5">
        <f>'Stmt Activities'!D36-'Financial Position'!D24-'Financial Position'!D25</f>
        <v>2484770.38</v>
      </c>
      <c r="E23" s="9"/>
      <c r="F23" s="7">
        <f>3998300-F24-F25</f>
        <v>1651152.25</v>
      </c>
      <c r="I23" s="45"/>
    </row>
    <row r="24" spans="1:9" ht="15.75" customHeight="1" x14ac:dyDescent="0.3">
      <c r="A24" s="3" t="s">
        <v>18</v>
      </c>
      <c r="B24" s="3"/>
      <c r="C24" s="3"/>
      <c r="D24" s="5">
        <f>D12</f>
        <v>1746964.96</v>
      </c>
      <c r="E24" s="9"/>
      <c r="F24" s="7">
        <f>F12</f>
        <v>1847147.75</v>
      </c>
      <c r="I24" s="45"/>
    </row>
    <row r="25" spans="1:9" ht="15.75" customHeight="1" x14ac:dyDescent="0.3">
      <c r="A25" s="144" t="s">
        <v>13</v>
      </c>
      <c r="B25" s="144"/>
      <c r="C25" s="144"/>
      <c r="D25" s="5">
        <v>500000</v>
      </c>
      <c r="E25" s="9"/>
      <c r="F25" s="7">
        <v>500000</v>
      </c>
    </row>
    <row r="26" spans="1:9" ht="15.75" customHeight="1" x14ac:dyDescent="0.3">
      <c r="A26" s="144" t="s">
        <v>14</v>
      </c>
      <c r="B26" s="144"/>
      <c r="C26" s="144"/>
      <c r="D26" s="8">
        <f>SUM(D23:D25)</f>
        <v>4731735.34</v>
      </c>
      <c r="E26" s="9"/>
      <c r="F26" s="8">
        <f t="shared" ref="F26" si="0">SUM(F23:F25)</f>
        <v>3998300</v>
      </c>
      <c r="I26" s="45"/>
    </row>
    <row r="27" spans="1:9" ht="15.75" customHeight="1" x14ac:dyDescent="0.3">
      <c r="D27" s="7"/>
      <c r="E27" s="13"/>
      <c r="F27" s="7"/>
    </row>
    <row r="28" spans="1:9" ht="15.75" customHeight="1" x14ac:dyDescent="0.3">
      <c r="A28" s="144" t="s">
        <v>15</v>
      </c>
      <c r="B28" s="144"/>
      <c r="C28" s="144"/>
      <c r="D28" s="5">
        <f>'Stmt Activities'!E36</f>
        <v>6316501.1199999992</v>
      </c>
      <c r="E28" s="9"/>
      <c r="F28" s="7">
        <v>5738141</v>
      </c>
      <c r="I28" s="45"/>
    </row>
    <row r="29" spans="1:9" ht="15.75" customHeight="1" x14ac:dyDescent="0.3">
      <c r="A29" s="144" t="s">
        <v>16</v>
      </c>
      <c r="B29" s="144"/>
      <c r="C29" s="144"/>
      <c r="D29" s="8">
        <f>D26+D28</f>
        <v>11048236.459999999</v>
      </c>
      <c r="E29" s="9"/>
      <c r="F29" s="8">
        <f>F26+F28</f>
        <v>9736441</v>
      </c>
      <c r="I29" s="45"/>
    </row>
    <row r="30" spans="1:9" ht="15.75" customHeight="1" x14ac:dyDescent="0.3">
      <c r="D30" s="7"/>
      <c r="E30" s="13"/>
      <c r="F30" s="7"/>
    </row>
    <row r="31" spans="1:9" ht="15.75" customHeight="1" thickBot="1" x14ac:dyDescent="0.35">
      <c r="A31" s="144" t="s">
        <v>17</v>
      </c>
      <c r="B31" s="144"/>
      <c r="C31" s="144"/>
      <c r="D31" s="6">
        <f>D19+D29</f>
        <v>11118736.949999999</v>
      </c>
      <c r="E31" s="9"/>
      <c r="F31" s="6">
        <f>F19+F29</f>
        <v>9789283.9800000004</v>
      </c>
    </row>
    <row r="32" spans="1:9" ht="15.75" customHeight="1" thickTop="1" x14ac:dyDescent="0.3"/>
    <row r="33" spans="4:6" ht="13.35" customHeight="1" x14ac:dyDescent="0.3">
      <c r="D33" s="45"/>
    </row>
    <row r="34" spans="4:6" ht="13.35" customHeight="1" x14ac:dyDescent="0.3">
      <c r="D34" s="45"/>
    </row>
    <row r="35" spans="4:6" ht="13.35" customHeight="1" x14ac:dyDescent="0.3"/>
    <row r="36" spans="4:6" ht="13.35" customHeight="1" x14ac:dyDescent="0.3">
      <c r="F36" s="45"/>
    </row>
    <row r="37" spans="4:6" ht="13.35" customHeight="1" x14ac:dyDescent="0.3"/>
    <row r="38" spans="4:6" ht="13.35" customHeight="1" x14ac:dyDescent="0.3"/>
    <row r="39" spans="4:6" ht="13.35" customHeight="1" x14ac:dyDescent="0.3"/>
  </sheetData>
  <mergeCells count="26">
    <mergeCell ref="A25:C25"/>
    <mergeCell ref="A26:C26"/>
    <mergeCell ref="A28:C28"/>
    <mergeCell ref="A29:C29"/>
    <mergeCell ref="A31:C31"/>
    <mergeCell ref="A19:C19"/>
    <mergeCell ref="A21:C21"/>
    <mergeCell ref="A22:C22"/>
    <mergeCell ref="A23:C23"/>
    <mergeCell ref="A12:C12"/>
    <mergeCell ref="A13:C13"/>
    <mergeCell ref="A15:C15"/>
    <mergeCell ref="A16:C16"/>
    <mergeCell ref="A17:C17"/>
    <mergeCell ref="A18:C18"/>
    <mergeCell ref="A11:C11"/>
    <mergeCell ref="A6:C6"/>
    <mergeCell ref="A7:C7"/>
    <mergeCell ref="A9:C9"/>
    <mergeCell ref="A10:C10"/>
    <mergeCell ref="A8:C8"/>
    <mergeCell ref="A1:F1"/>
    <mergeCell ref="A2:F2"/>
    <mergeCell ref="A3:F3"/>
    <mergeCell ref="A4:F4"/>
    <mergeCell ref="B5:C5"/>
  </mergeCells>
  <pageMargins left="0.25" right="0.25" top="0.25" bottom="0.25" header="0.5" footer="0.5"/>
  <pageSetup orientation="portrait" r:id="rId1"/>
  <ignoredErrors>
    <ignoredError sqref="D5 F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8BD2-CF7E-4D16-87AA-3BE2977E8980}">
  <dimension ref="A1:Q50"/>
  <sheetViews>
    <sheetView zoomScale="90" zoomScaleNormal="90" workbookViewId="0">
      <selection activeCell="M24" sqref="M24"/>
    </sheetView>
  </sheetViews>
  <sheetFormatPr defaultRowHeight="16.5" x14ac:dyDescent="0.3"/>
  <cols>
    <col min="1" max="1" width="14.5703125" style="18" customWidth="1"/>
    <col min="2" max="2" width="7.5703125" style="18" customWidth="1"/>
    <col min="3" max="3" width="39.42578125" style="18" customWidth="1"/>
    <col min="4" max="4" width="14.5703125" style="18" customWidth="1"/>
    <col min="5" max="5" width="17.42578125" style="18" customWidth="1"/>
    <col min="6" max="6" width="14.5703125" style="18" customWidth="1"/>
    <col min="7" max="7" width="2.85546875" style="24" customWidth="1"/>
    <col min="8" max="8" width="14.5703125" style="18" customWidth="1"/>
    <col min="9" max="9" width="9.140625" style="58"/>
    <col min="10" max="10" width="14.5703125" style="18" bestFit="1" customWidth="1"/>
    <col min="11" max="11" width="14.28515625" style="18" customWidth="1"/>
    <col min="12" max="12" width="14.5703125" style="18" bestFit="1" customWidth="1"/>
    <col min="13" max="13" width="9.85546875" style="18" bestFit="1" customWidth="1"/>
    <col min="14" max="16" width="9.140625" style="18"/>
    <col min="17" max="17" width="14.5703125" style="71" bestFit="1" customWidth="1"/>
    <col min="18" max="16384" width="9.140625" style="18"/>
  </cols>
  <sheetData>
    <row r="1" spans="1:13" ht="19.899999999999999" customHeight="1" x14ac:dyDescent="0.3">
      <c r="A1" s="146" t="s">
        <v>0</v>
      </c>
      <c r="B1" s="146"/>
      <c r="C1" s="146"/>
      <c r="D1" s="146"/>
      <c r="E1" s="146"/>
      <c r="F1" s="42"/>
    </row>
    <row r="2" spans="1:13" ht="19.899999999999999" customHeight="1" x14ac:dyDescent="0.3">
      <c r="A2" s="146" t="s">
        <v>40</v>
      </c>
      <c r="B2" s="146"/>
      <c r="C2" s="146"/>
      <c r="D2" s="146"/>
      <c r="E2" s="146"/>
      <c r="F2" s="42"/>
    </row>
    <row r="3" spans="1:13" ht="16.899999999999999" customHeight="1" x14ac:dyDescent="0.3">
      <c r="A3" s="146" t="s">
        <v>161</v>
      </c>
      <c r="B3" s="146"/>
      <c r="C3" s="146"/>
      <c r="D3" s="146"/>
      <c r="E3" s="146"/>
      <c r="F3" s="42"/>
    </row>
    <row r="4" spans="1:13" ht="15.75" customHeight="1" x14ac:dyDescent="0.3">
      <c r="A4" s="148"/>
      <c r="B4" s="148"/>
      <c r="C4" s="148"/>
      <c r="D4" s="148"/>
      <c r="E4" s="148"/>
      <c r="F4" s="43"/>
    </row>
    <row r="5" spans="1:13" ht="60.75" customHeight="1" x14ac:dyDescent="0.3">
      <c r="A5" s="19"/>
      <c r="B5" s="149"/>
      <c r="C5" s="149"/>
      <c r="D5" s="20" t="s">
        <v>116</v>
      </c>
      <c r="E5" s="20" t="s">
        <v>41</v>
      </c>
      <c r="F5" s="55" t="s">
        <v>188</v>
      </c>
      <c r="H5" s="72" t="s">
        <v>162</v>
      </c>
    </row>
    <row r="6" spans="1:13" ht="15.75" customHeight="1" x14ac:dyDescent="0.3">
      <c r="A6" s="147" t="s">
        <v>39</v>
      </c>
      <c r="B6" s="147"/>
      <c r="C6" s="147"/>
      <c r="D6" s="14"/>
      <c r="E6" s="14"/>
      <c r="F6" s="14"/>
    </row>
    <row r="7" spans="1:13" ht="15.75" customHeight="1" x14ac:dyDescent="0.3">
      <c r="A7" s="147" t="s">
        <v>38</v>
      </c>
      <c r="B7" s="147"/>
      <c r="C7" s="147"/>
      <c r="D7" s="5">
        <v>90000</v>
      </c>
      <c r="E7" s="5">
        <v>703595.97</v>
      </c>
      <c r="F7" s="5">
        <f>SUM(D7:E7)</f>
        <v>793595.97</v>
      </c>
      <c r="H7" s="7">
        <v>3364943.26</v>
      </c>
      <c r="I7" s="24" t="s">
        <v>158</v>
      </c>
      <c r="J7" s="54"/>
      <c r="K7" s="54"/>
      <c r="L7" s="54"/>
    </row>
    <row r="8" spans="1:13" ht="15.75" customHeight="1" x14ac:dyDescent="0.3">
      <c r="A8" s="147" t="s">
        <v>37</v>
      </c>
      <c r="B8" s="147"/>
      <c r="C8" s="147"/>
      <c r="D8" s="5">
        <v>0</v>
      </c>
      <c r="E8" s="5">
        <v>12211.4</v>
      </c>
      <c r="F8" s="5">
        <f t="shared" ref="F8:F13" si="0">SUM(D8:E8)</f>
        <v>12211.4</v>
      </c>
      <c r="H8" s="7">
        <v>7192.81</v>
      </c>
      <c r="J8" s="54"/>
      <c r="K8" s="54"/>
    </row>
    <row r="9" spans="1:13" ht="15.75" customHeight="1" x14ac:dyDescent="0.3">
      <c r="A9" s="147" t="s">
        <v>36</v>
      </c>
      <c r="B9" s="147"/>
      <c r="C9" s="147"/>
      <c r="D9" s="5">
        <f>374448.23+5000</f>
        <v>379448.23</v>
      </c>
      <c r="E9" s="5">
        <v>99803.75</v>
      </c>
      <c r="F9" s="5">
        <f t="shared" si="0"/>
        <v>479251.98</v>
      </c>
      <c r="H9" s="77">
        <v>607369.49</v>
      </c>
      <c r="J9" s="54"/>
      <c r="M9" s="54"/>
    </row>
    <row r="10" spans="1:13" ht="15.75" customHeight="1" x14ac:dyDescent="0.3">
      <c r="A10" s="147" t="s">
        <v>35</v>
      </c>
      <c r="B10" s="147"/>
      <c r="C10" s="147"/>
      <c r="D10" s="5">
        <v>54139.7</v>
      </c>
      <c r="E10" s="5">
        <v>113493.11</v>
      </c>
      <c r="F10" s="5">
        <f t="shared" si="0"/>
        <v>167632.81</v>
      </c>
      <c r="H10" s="77">
        <v>133672.45000000001</v>
      </c>
      <c r="J10" s="54"/>
    </row>
    <row r="11" spans="1:13" ht="15.75" customHeight="1" x14ac:dyDescent="0.3">
      <c r="A11" s="147" t="s">
        <v>154</v>
      </c>
      <c r="B11" s="147"/>
      <c r="C11" s="147"/>
      <c r="D11" s="5"/>
      <c r="E11" s="5"/>
      <c r="F11" s="5">
        <f t="shared" si="0"/>
        <v>0</v>
      </c>
      <c r="H11" s="77">
        <v>126163.66</v>
      </c>
      <c r="J11" s="54"/>
    </row>
    <row r="12" spans="1:13" ht="15.75" customHeight="1" x14ac:dyDescent="0.3">
      <c r="A12" s="147" t="s">
        <v>135</v>
      </c>
      <c r="B12" s="147"/>
      <c r="C12" s="147"/>
      <c r="D12" s="5">
        <f>473383-D30</f>
        <v>37286</v>
      </c>
      <c r="E12" s="5">
        <v>0</v>
      </c>
      <c r="F12" s="5">
        <f t="shared" si="0"/>
        <v>37286</v>
      </c>
      <c r="G12" s="49"/>
      <c r="H12" s="77">
        <f>137875.34-H30</f>
        <v>87319.34</v>
      </c>
      <c r="J12" s="54"/>
      <c r="K12" s="54"/>
      <c r="L12" s="54"/>
    </row>
    <row r="13" spans="1:13" ht="15.75" customHeight="1" x14ac:dyDescent="0.3">
      <c r="A13" s="147" t="s">
        <v>34</v>
      </c>
      <c r="B13" s="147"/>
      <c r="C13" s="147"/>
      <c r="D13" s="74">
        <v>809461</v>
      </c>
      <c r="E13" s="74">
        <f>-D13</f>
        <v>-809461</v>
      </c>
      <c r="F13" s="5">
        <f t="shared" si="0"/>
        <v>0</v>
      </c>
      <c r="G13" s="53"/>
      <c r="H13" s="7">
        <v>0</v>
      </c>
      <c r="J13" s="54"/>
      <c r="L13" s="54"/>
    </row>
    <row r="14" spans="1:13" ht="15.75" customHeight="1" x14ac:dyDescent="0.3">
      <c r="A14" s="147" t="s">
        <v>33</v>
      </c>
      <c r="B14" s="147"/>
      <c r="C14" s="147"/>
      <c r="D14" s="8">
        <f>SUM(D7:D13)</f>
        <v>1370334.93</v>
      </c>
      <c r="E14" s="8">
        <f t="shared" ref="E14:F14" si="1">SUM(E7:E13)</f>
        <v>119643.22999999998</v>
      </c>
      <c r="F14" s="8">
        <f t="shared" si="1"/>
        <v>1489978.1600000001</v>
      </c>
      <c r="G14" s="52"/>
      <c r="H14" s="57">
        <f>SUM(H7:H13)</f>
        <v>4326661.01</v>
      </c>
      <c r="J14" s="54"/>
      <c r="K14" s="54"/>
      <c r="L14" s="54"/>
    </row>
    <row r="15" spans="1:13" ht="15.75" customHeight="1" x14ac:dyDescent="0.3">
      <c r="D15" s="7"/>
      <c r="E15" s="7"/>
      <c r="F15" s="7"/>
      <c r="H15" s="7"/>
      <c r="J15" s="54"/>
    </row>
    <row r="16" spans="1:13" ht="15.75" customHeight="1" x14ac:dyDescent="0.3">
      <c r="A16" s="147" t="s">
        <v>32</v>
      </c>
      <c r="B16" s="147"/>
      <c r="C16" s="147"/>
      <c r="D16" s="7"/>
      <c r="E16" s="7"/>
      <c r="F16" s="7"/>
      <c r="H16" s="7"/>
      <c r="J16" s="54"/>
    </row>
    <row r="17" spans="1:17" ht="15.75" customHeight="1" x14ac:dyDescent="0.3">
      <c r="A17" s="147" t="s">
        <v>31</v>
      </c>
      <c r="B17" s="147"/>
      <c r="C17" s="147"/>
      <c r="D17" s="7"/>
      <c r="E17" s="7"/>
      <c r="F17" s="7"/>
      <c r="H17" s="7"/>
      <c r="J17" s="54"/>
    </row>
    <row r="18" spans="1:17" ht="15.75" customHeight="1" x14ac:dyDescent="0.3">
      <c r="A18" s="147" t="s">
        <v>30</v>
      </c>
      <c r="B18" s="147"/>
      <c r="C18" s="147"/>
      <c r="D18" s="5">
        <f>'Functional Exp'!B38</f>
        <v>733148.64</v>
      </c>
      <c r="E18" s="5"/>
      <c r="F18" s="5">
        <f>SUM(D18:E18)</f>
        <v>733148.64</v>
      </c>
      <c r="H18" s="7">
        <v>680190.5</v>
      </c>
      <c r="J18" s="71"/>
      <c r="K18" s="54"/>
    </row>
    <row r="19" spans="1:17" ht="15.75" customHeight="1" x14ac:dyDescent="0.3">
      <c r="A19" s="147" t="s">
        <v>29</v>
      </c>
      <c r="B19" s="147"/>
      <c r="C19" s="147"/>
      <c r="D19" s="5">
        <f>'Functional Exp'!C38</f>
        <v>456058.95</v>
      </c>
      <c r="E19" s="5"/>
      <c r="F19" s="5">
        <f t="shared" ref="F19:F26" si="2">SUM(D19:E19)</f>
        <v>456058.95</v>
      </c>
      <c r="H19" s="7">
        <v>438289.59</v>
      </c>
      <c r="J19" s="71"/>
    </row>
    <row r="20" spans="1:17" ht="15.75" customHeight="1" x14ac:dyDescent="0.3">
      <c r="A20" s="147" t="s">
        <v>28</v>
      </c>
      <c r="B20" s="147"/>
      <c r="C20" s="147"/>
      <c r="D20" s="5">
        <f>'Functional Exp'!D38</f>
        <v>15398.679999999997</v>
      </c>
      <c r="E20" s="5"/>
      <c r="F20" s="5">
        <f t="shared" si="2"/>
        <v>15398.679999999997</v>
      </c>
      <c r="H20" s="7">
        <v>50654.47</v>
      </c>
      <c r="J20" s="71"/>
    </row>
    <row r="21" spans="1:17" ht="15.75" customHeight="1" x14ac:dyDescent="0.3">
      <c r="A21" s="147" t="s">
        <v>27</v>
      </c>
      <c r="B21" s="147"/>
      <c r="C21" s="147"/>
      <c r="D21" s="8">
        <f>SUM(D18:D20)</f>
        <v>1204606.27</v>
      </c>
      <c r="E21" s="8">
        <v>0</v>
      </c>
      <c r="F21" s="44">
        <f t="shared" si="2"/>
        <v>1204606.27</v>
      </c>
      <c r="H21" s="57">
        <f>SUM(H18:H20)</f>
        <v>1169134.56</v>
      </c>
    </row>
    <row r="22" spans="1:17" ht="15.75" customHeight="1" x14ac:dyDescent="0.3">
      <c r="A22" s="147" t="s">
        <v>26</v>
      </c>
      <c r="B22" s="147"/>
      <c r="C22" s="147"/>
      <c r="D22" s="7"/>
      <c r="E22" s="7"/>
      <c r="F22" s="5"/>
      <c r="H22" s="7"/>
      <c r="K22" s="54"/>
    </row>
    <row r="23" spans="1:17" ht="15.75" customHeight="1" x14ac:dyDescent="0.3">
      <c r="A23" s="147" t="s">
        <v>25</v>
      </c>
      <c r="B23" s="147"/>
      <c r="C23" s="147"/>
      <c r="D23" s="5">
        <f>'Functional Exp'!F38</f>
        <v>81292.079999999987</v>
      </c>
      <c r="E23" s="5"/>
      <c r="F23" s="5">
        <f t="shared" si="2"/>
        <v>81292.079999999987</v>
      </c>
      <c r="H23" s="7">
        <v>85488.29</v>
      </c>
      <c r="J23" s="54"/>
    </row>
    <row r="24" spans="1:17" ht="15.75" customHeight="1" x14ac:dyDescent="0.3">
      <c r="A24" s="147" t="s">
        <v>24</v>
      </c>
      <c r="B24" s="147"/>
      <c r="C24" s="147"/>
      <c r="D24" s="5">
        <f>'Functional Exp'!G42</f>
        <v>377073.86</v>
      </c>
      <c r="E24" s="5"/>
      <c r="F24" s="5">
        <f t="shared" si="2"/>
        <v>377073.86</v>
      </c>
      <c r="H24" s="7">
        <v>331624.67</v>
      </c>
    </row>
    <row r="25" spans="1:17" ht="15.75" customHeight="1" x14ac:dyDescent="0.3">
      <c r="A25" s="147" t="s">
        <v>23</v>
      </c>
      <c r="B25" s="147"/>
      <c r="C25" s="147"/>
      <c r="D25" s="8">
        <f>SUM(D23:D24)</f>
        <v>458365.93999999994</v>
      </c>
      <c r="E25" s="8">
        <v>0</v>
      </c>
      <c r="F25" s="44">
        <f t="shared" si="2"/>
        <v>458365.93999999994</v>
      </c>
      <c r="H25" s="57">
        <f>SUM(H23:H24)</f>
        <v>417112.95999999996</v>
      </c>
    </row>
    <row r="26" spans="1:17" ht="15.75" customHeight="1" x14ac:dyDescent="0.3">
      <c r="A26" s="147" t="s">
        <v>22</v>
      </c>
      <c r="B26" s="147"/>
      <c r="C26" s="147"/>
      <c r="D26" s="15">
        <f>D21+D25</f>
        <v>1662972.21</v>
      </c>
      <c r="E26" s="15">
        <v>0</v>
      </c>
      <c r="F26" s="44">
        <f t="shared" si="2"/>
        <v>1662972.21</v>
      </c>
      <c r="G26" s="49"/>
      <c r="H26" s="57">
        <f>H21+H25</f>
        <v>1586247.52</v>
      </c>
      <c r="J26" s="51"/>
      <c r="K26" s="54"/>
    </row>
    <row r="27" spans="1:17" ht="15.75" customHeight="1" x14ac:dyDescent="0.3">
      <c r="D27" s="7"/>
      <c r="E27" s="7"/>
      <c r="F27" s="5"/>
      <c r="H27" s="7"/>
    </row>
    <row r="28" spans="1:17" s="46" customFormat="1" ht="15.75" customHeight="1" x14ac:dyDescent="0.25">
      <c r="A28" s="46" t="s">
        <v>156</v>
      </c>
      <c r="D28" s="59">
        <f>D14-D26</f>
        <v>-292637.28000000003</v>
      </c>
      <c r="E28" s="59">
        <f t="shared" ref="E28:H28" si="3">E14-E26</f>
        <v>119643.22999999998</v>
      </c>
      <c r="F28" s="59">
        <f t="shared" si="3"/>
        <v>-172994.04999999981</v>
      </c>
      <c r="G28" s="59">
        <f t="shared" si="3"/>
        <v>0</v>
      </c>
      <c r="H28" s="59">
        <f t="shared" si="3"/>
        <v>2740413.4899999998</v>
      </c>
      <c r="I28" s="132"/>
      <c r="Q28" s="133"/>
    </row>
    <row r="29" spans="1:17" ht="15.75" customHeight="1" x14ac:dyDescent="0.3">
      <c r="D29" s="7"/>
      <c r="E29" s="7"/>
      <c r="F29" s="5"/>
      <c r="H29" s="7"/>
    </row>
    <row r="30" spans="1:17" ht="15.75" customHeight="1" x14ac:dyDescent="0.3">
      <c r="A30" s="18" t="s">
        <v>143</v>
      </c>
      <c r="D30" s="7">
        <v>436097</v>
      </c>
      <c r="E30" s="7"/>
      <c r="F30" s="5">
        <f>D30+E30</f>
        <v>436097</v>
      </c>
      <c r="H30" s="77">
        <f>45556+5000</f>
        <v>50556</v>
      </c>
    </row>
    <row r="31" spans="1:17" ht="15.75" customHeight="1" x14ac:dyDescent="0.3">
      <c r="D31" s="7"/>
      <c r="E31" s="7"/>
      <c r="F31" s="5"/>
      <c r="H31" s="7"/>
      <c r="J31" s="54"/>
    </row>
    <row r="32" spans="1:17" ht="15.75" customHeight="1" x14ac:dyDescent="0.3">
      <c r="A32" s="146" t="s">
        <v>21</v>
      </c>
      <c r="B32" s="146"/>
      <c r="C32" s="146"/>
      <c r="D32" s="16">
        <v>4588275.62</v>
      </c>
      <c r="E32" s="16">
        <v>6196857.8899999997</v>
      </c>
      <c r="F32" s="16">
        <f>D32+E32</f>
        <v>10785133.51</v>
      </c>
      <c r="H32" s="59">
        <v>6945471.79</v>
      </c>
    </row>
    <row r="33" spans="1:11" ht="15.75" customHeight="1" x14ac:dyDescent="0.3">
      <c r="D33" s="7"/>
      <c r="E33" s="7"/>
      <c r="F33" s="7"/>
      <c r="H33" s="59"/>
    </row>
    <row r="34" spans="1:11" ht="15.75" customHeight="1" x14ac:dyDescent="0.3">
      <c r="A34" s="146" t="s">
        <v>20</v>
      </c>
      <c r="B34" s="146"/>
      <c r="C34" s="146"/>
      <c r="D34" s="16">
        <f>D14-D26+D30</f>
        <v>143459.71999999997</v>
      </c>
      <c r="E34" s="16">
        <f t="shared" ref="E34:F34" si="4">E14-E26+E30</f>
        <v>119643.22999999998</v>
      </c>
      <c r="F34" s="16">
        <f t="shared" si="4"/>
        <v>263102.95000000019</v>
      </c>
      <c r="H34" s="59">
        <f>H14-H26+H30</f>
        <v>2790969.4899999998</v>
      </c>
      <c r="J34" s="54"/>
      <c r="K34" s="54"/>
    </row>
    <row r="35" spans="1:11" ht="15.75" customHeight="1" x14ac:dyDescent="0.3">
      <c r="D35" s="7"/>
      <c r="E35" s="7"/>
      <c r="F35" s="7"/>
      <c r="H35" s="59"/>
    </row>
    <row r="36" spans="1:11" ht="15.75" customHeight="1" thickBot="1" x14ac:dyDescent="0.35">
      <c r="A36" s="146" t="s">
        <v>19</v>
      </c>
      <c r="B36" s="146"/>
      <c r="C36" s="146"/>
      <c r="D36" s="17">
        <f>D32+D34</f>
        <v>4731735.34</v>
      </c>
      <c r="E36" s="17">
        <f>E32+E34</f>
        <v>6316501.1199999992</v>
      </c>
      <c r="F36" s="17">
        <f>F32+F34</f>
        <v>11048236.460000001</v>
      </c>
      <c r="H36" s="60">
        <f>H32+H34</f>
        <v>9736441.2799999993</v>
      </c>
    </row>
    <row r="37" spans="1:11" ht="15.75" customHeight="1" thickTop="1" x14ac:dyDescent="0.3"/>
    <row r="38" spans="1:11" ht="13.35" customHeight="1" x14ac:dyDescent="0.3">
      <c r="F38" s="54"/>
      <c r="H38" s="54"/>
    </row>
    <row r="39" spans="1:11" ht="13.35" customHeight="1" x14ac:dyDescent="0.3">
      <c r="D39" s="51"/>
      <c r="E39" s="51"/>
      <c r="F39" s="51"/>
      <c r="H39" s="51"/>
    </row>
    <row r="40" spans="1:11" ht="13.35" customHeight="1" x14ac:dyDescent="0.3">
      <c r="D40" s="54"/>
      <c r="F40" s="54"/>
    </row>
    <row r="41" spans="1:11" ht="13.35" customHeight="1" x14ac:dyDescent="0.3">
      <c r="F41" s="54"/>
    </row>
    <row r="42" spans="1:11" ht="13.35" customHeight="1" x14ac:dyDescent="0.3">
      <c r="D42" s="54"/>
    </row>
    <row r="43" spans="1:11" ht="13.35" customHeight="1" x14ac:dyDescent="0.3">
      <c r="F43" s="54"/>
    </row>
    <row r="44" spans="1:11" ht="13.35" customHeight="1" x14ac:dyDescent="0.3"/>
    <row r="45" spans="1:11" ht="13.35" customHeight="1" x14ac:dyDescent="0.3"/>
    <row r="46" spans="1:11" ht="13.35" customHeight="1" x14ac:dyDescent="0.3"/>
    <row r="47" spans="1:11" ht="13.35" customHeight="1" x14ac:dyDescent="0.3"/>
    <row r="48" spans="1:11" ht="13.35" customHeight="1" x14ac:dyDescent="0.3"/>
    <row r="49" ht="13.35" customHeight="1" x14ac:dyDescent="0.3"/>
    <row r="50" ht="13.35" customHeight="1" x14ac:dyDescent="0.3"/>
  </sheetData>
  <mergeCells count="28">
    <mergeCell ref="A6:C6"/>
    <mergeCell ref="A7:C7"/>
    <mergeCell ref="A8:C8"/>
    <mergeCell ref="A1:E1"/>
    <mergeCell ref="A2:E2"/>
    <mergeCell ref="A3:E3"/>
    <mergeCell ref="A4:E4"/>
    <mergeCell ref="B5:C5"/>
    <mergeCell ref="A9:C9"/>
    <mergeCell ref="A10:C10"/>
    <mergeCell ref="A12:C12"/>
    <mergeCell ref="A13:C13"/>
    <mergeCell ref="A14:C14"/>
    <mergeCell ref="A11:C11"/>
    <mergeCell ref="A16:C16"/>
    <mergeCell ref="A17:C17"/>
    <mergeCell ref="A18:C18"/>
    <mergeCell ref="A19:C19"/>
    <mergeCell ref="A20:C20"/>
    <mergeCell ref="A36:C36"/>
    <mergeCell ref="A26:C26"/>
    <mergeCell ref="A32:C32"/>
    <mergeCell ref="A34:C34"/>
    <mergeCell ref="A21:C21"/>
    <mergeCell ref="A22:C22"/>
    <mergeCell ref="A23:C23"/>
    <mergeCell ref="A24:C24"/>
    <mergeCell ref="A25:C25"/>
  </mergeCells>
  <pageMargins left="0.25" right="0.25" top="0.25" bottom="0.25" header="0.5" footer="0.5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03D9-FDB7-4A1C-B843-5745A394AC2F}">
  <dimension ref="A1:M46"/>
  <sheetViews>
    <sheetView zoomScale="90" zoomScaleNormal="90" workbookViewId="0">
      <selection activeCell="M24" sqref="M24"/>
    </sheetView>
  </sheetViews>
  <sheetFormatPr defaultRowHeight="16.5" x14ac:dyDescent="0.3"/>
  <cols>
    <col min="1" max="1" width="51.28515625" style="18" customWidth="1"/>
    <col min="2" max="5" width="12.7109375" style="18" customWidth="1"/>
    <col min="6" max="6" width="15.7109375" style="18" customWidth="1"/>
    <col min="7" max="9" width="12.7109375" style="18" customWidth="1"/>
    <col min="10" max="10" width="3.140625" style="18" customWidth="1"/>
    <col min="11" max="11" width="12.28515625" style="51" customWidth="1"/>
    <col min="12" max="12" width="14.42578125" style="14" customWidth="1"/>
    <col min="13" max="13" width="9.140625" style="136"/>
    <col min="14" max="16384" width="9.140625" style="18"/>
  </cols>
  <sheetData>
    <row r="1" spans="1:13" s="46" customFormat="1" ht="19.5" customHeight="1" x14ac:dyDescent="0.25">
      <c r="A1" s="46" t="s">
        <v>118</v>
      </c>
      <c r="B1" s="146"/>
      <c r="C1" s="146"/>
      <c r="D1" s="146"/>
      <c r="E1" s="146"/>
      <c r="F1" s="146"/>
      <c r="G1" s="146"/>
      <c r="H1" s="146"/>
      <c r="I1" s="146"/>
      <c r="K1" s="79"/>
      <c r="L1" s="84"/>
      <c r="M1" s="135"/>
    </row>
    <row r="2" spans="1:13" s="46" customFormat="1" ht="19.5" customHeight="1" x14ac:dyDescent="0.25">
      <c r="A2" s="46" t="s">
        <v>119</v>
      </c>
      <c r="B2" s="146"/>
      <c r="C2" s="146"/>
      <c r="D2" s="146"/>
      <c r="E2" s="146"/>
      <c r="F2" s="146"/>
      <c r="G2" s="146"/>
      <c r="H2" s="146"/>
      <c r="I2" s="146"/>
      <c r="K2" s="79"/>
      <c r="L2" s="84"/>
      <c r="M2" s="135"/>
    </row>
    <row r="3" spans="1:13" s="46" customFormat="1" ht="19.5" customHeight="1" x14ac:dyDescent="0.25">
      <c r="A3" s="46" t="s">
        <v>166</v>
      </c>
      <c r="B3" s="146"/>
      <c r="C3" s="146"/>
      <c r="D3" s="146"/>
      <c r="E3" s="146"/>
      <c r="F3" s="146"/>
      <c r="G3" s="146"/>
      <c r="H3" s="146"/>
      <c r="I3" s="146"/>
      <c r="K3" s="79"/>
      <c r="L3" s="84"/>
      <c r="M3" s="135"/>
    </row>
    <row r="4" spans="1:13" ht="15.75" customHeight="1" x14ac:dyDescent="0.3">
      <c r="A4" s="56"/>
      <c r="B4" s="148"/>
      <c r="C4" s="148"/>
      <c r="D4" s="148"/>
      <c r="E4" s="148"/>
      <c r="F4" s="148"/>
      <c r="G4" s="148"/>
      <c r="H4" s="148"/>
      <c r="I4" s="148"/>
    </row>
    <row r="5" spans="1:13" ht="15.75" customHeight="1" x14ac:dyDescent="0.3">
      <c r="B5" s="150" t="s">
        <v>71</v>
      </c>
      <c r="C5" s="150"/>
      <c r="D5" s="150"/>
      <c r="E5" s="150"/>
      <c r="F5" s="150" t="s">
        <v>70</v>
      </c>
      <c r="G5" s="150"/>
      <c r="H5" s="150"/>
    </row>
    <row r="6" spans="1:13" ht="53.25" customHeight="1" x14ac:dyDescent="0.3">
      <c r="B6" s="20" t="s">
        <v>69</v>
      </c>
      <c r="C6" s="20" t="s">
        <v>68</v>
      </c>
      <c r="D6" s="20" t="s">
        <v>148</v>
      </c>
      <c r="E6" s="20" t="s">
        <v>67</v>
      </c>
      <c r="F6" s="21" t="s">
        <v>66</v>
      </c>
      <c r="G6" s="21" t="s">
        <v>65</v>
      </c>
      <c r="H6" s="20" t="s">
        <v>64</v>
      </c>
      <c r="I6" s="21" t="s">
        <v>182</v>
      </c>
      <c r="J6" s="91"/>
      <c r="K6" s="80" t="s">
        <v>189</v>
      </c>
      <c r="L6" s="86" t="s">
        <v>137</v>
      </c>
    </row>
    <row r="7" spans="1:13" ht="15.75" customHeight="1" x14ac:dyDescent="0.3">
      <c r="J7" s="91"/>
    </row>
    <row r="8" spans="1:13" ht="15.75" customHeight="1" x14ac:dyDescent="0.3">
      <c r="A8" s="18" t="s">
        <v>63</v>
      </c>
      <c r="B8" s="5">
        <v>509261.1671783526</v>
      </c>
      <c r="C8" s="5">
        <v>171063.05619512111</v>
      </c>
      <c r="D8" s="5">
        <v>3285.3612450646788</v>
      </c>
      <c r="E8" s="5">
        <f>B8+C8+D8</f>
        <v>683609.58461853839</v>
      </c>
      <c r="F8" s="5">
        <v>32549.235805144417</v>
      </c>
      <c r="G8" s="5">
        <v>146536.25957631724</v>
      </c>
      <c r="H8" s="5">
        <f>F8+G8</f>
        <v>179085.49538146166</v>
      </c>
      <c r="I8" s="5">
        <f>E8+H8</f>
        <v>862695.08000000007</v>
      </c>
      <c r="J8" s="91"/>
      <c r="K8" s="7">
        <v>844336.09</v>
      </c>
      <c r="L8" s="85">
        <f>I8-K8</f>
        <v>18358.990000000107</v>
      </c>
    </row>
    <row r="9" spans="1:13" ht="15.75" customHeight="1" x14ac:dyDescent="0.3">
      <c r="A9" s="18" t="s">
        <v>62</v>
      </c>
      <c r="B9" s="5">
        <v>31490.005768999064</v>
      </c>
      <c r="C9" s="5">
        <v>24923.743657458457</v>
      </c>
      <c r="D9" s="5">
        <v>1612.6805683663415</v>
      </c>
      <c r="E9" s="5">
        <f t="shared" ref="E9:E37" si="0">B9+C9+D9</f>
        <v>58026.429994823862</v>
      </c>
      <c r="F9" s="5">
        <v>38320.608678308781</v>
      </c>
      <c r="G9" s="5">
        <v>74010.261326867359</v>
      </c>
      <c r="H9" s="5">
        <f t="shared" ref="H9:H37" si="1">F9+G9</f>
        <v>112330.87000517614</v>
      </c>
      <c r="I9" s="5">
        <f t="shared" ref="I9:I37" si="2">E9+H9</f>
        <v>170357.3</v>
      </c>
      <c r="J9" s="92"/>
      <c r="K9" s="7">
        <v>87650.35</v>
      </c>
      <c r="L9" s="85">
        <f t="shared" ref="L9:L37" si="3">I9-K9</f>
        <v>82706.949999999983</v>
      </c>
      <c r="M9" s="136" t="s">
        <v>159</v>
      </c>
    </row>
    <row r="10" spans="1:13" ht="15.75" customHeight="1" x14ac:dyDescent="0.3">
      <c r="A10" s="18" t="s">
        <v>61</v>
      </c>
      <c r="B10" s="5">
        <v>35681.583334849354</v>
      </c>
      <c r="C10" s="5">
        <v>10443.001138527055</v>
      </c>
      <c r="D10" s="5">
        <v>1827.3415544847289</v>
      </c>
      <c r="E10" s="5">
        <f t="shared" si="0"/>
        <v>47951.92602786114</v>
      </c>
      <c r="F10" s="5">
        <v>2042.7772723748565</v>
      </c>
      <c r="G10" s="5">
        <v>9458.9166997640023</v>
      </c>
      <c r="H10" s="5">
        <f t="shared" si="1"/>
        <v>11501.693972138859</v>
      </c>
      <c r="I10" s="5">
        <f t="shared" si="2"/>
        <v>59453.619999999995</v>
      </c>
      <c r="J10" s="91"/>
      <c r="K10" s="7">
        <v>38412.92</v>
      </c>
      <c r="L10" s="85">
        <f t="shared" si="3"/>
        <v>21040.699999999997</v>
      </c>
      <c r="M10" s="136" t="s">
        <v>187</v>
      </c>
    </row>
    <row r="11" spans="1:13" ht="15.75" customHeight="1" x14ac:dyDescent="0.3">
      <c r="A11" s="18" t="s">
        <v>60</v>
      </c>
      <c r="B11" s="5">
        <v>37223.57</v>
      </c>
      <c r="C11" s="5">
        <v>0</v>
      </c>
      <c r="D11" s="5">
        <v>0</v>
      </c>
      <c r="E11" s="5">
        <f t="shared" si="0"/>
        <v>37223.57</v>
      </c>
      <c r="F11" s="5">
        <v>0</v>
      </c>
      <c r="G11" s="5">
        <v>0</v>
      </c>
      <c r="H11" s="5">
        <f t="shared" si="1"/>
        <v>0</v>
      </c>
      <c r="I11" s="5">
        <f t="shared" si="2"/>
        <v>37223.57</v>
      </c>
      <c r="J11" s="91"/>
      <c r="K11" s="7">
        <v>23154.04</v>
      </c>
      <c r="L11" s="85">
        <f t="shared" si="3"/>
        <v>14069.529999999999</v>
      </c>
      <c r="M11" s="136" t="s">
        <v>183</v>
      </c>
    </row>
    <row r="12" spans="1:13" ht="15.75" customHeight="1" x14ac:dyDescent="0.3">
      <c r="A12" s="18" t="s">
        <v>59</v>
      </c>
      <c r="B12" s="5">
        <v>0</v>
      </c>
      <c r="C12" s="5">
        <v>177011.12</v>
      </c>
      <c r="D12" s="5">
        <v>0</v>
      </c>
      <c r="E12" s="5">
        <f t="shared" si="0"/>
        <v>177011.12</v>
      </c>
      <c r="F12" s="5">
        <v>0</v>
      </c>
      <c r="G12" s="5">
        <v>0</v>
      </c>
      <c r="H12" s="5">
        <f t="shared" si="1"/>
        <v>0</v>
      </c>
      <c r="I12" s="5">
        <f t="shared" si="2"/>
        <v>177011.12</v>
      </c>
      <c r="J12" s="91"/>
      <c r="K12" s="7">
        <v>226356.67</v>
      </c>
      <c r="L12" s="85">
        <f t="shared" si="3"/>
        <v>-49345.550000000017</v>
      </c>
      <c r="M12" s="136" t="s">
        <v>184</v>
      </c>
    </row>
    <row r="13" spans="1:13" ht="15.75" customHeight="1" x14ac:dyDescent="0.3">
      <c r="A13" s="18" t="s">
        <v>124</v>
      </c>
      <c r="B13" s="5">
        <v>0</v>
      </c>
      <c r="C13" s="5">
        <v>29500</v>
      </c>
      <c r="D13" s="5">
        <v>0</v>
      </c>
      <c r="E13" s="5">
        <f t="shared" si="0"/>
        <v>29500</v>
      </c>
      <c r="F13" s="5">
        <v>0</v>
      </c>
      <c r="G13" s="5">
        <v>0</v>
      </c>
      <c r="H13" s="5">
        <f t="shared" si="1"/>
        <v>0</v>
      </c>
      <c r="I13" s="5">
        <f t="shared" si="2"/>
        <v>29500</v>
      </c>
      <c r="J13" s="91"/>
      <c r="K13" s="7">
        <v>13500</v>
      </c>
      <c r="L13" s="85">
        <f t="shared" si="3"/>
        <v>16000</v>
      </c>
      <c r="M13" s="136" t="s">
        <v>185</v>
      </c>
    </row>
    <row r="14" spans="1:13" ht="15.75" customHeight="1" x14ac:dyDescent="0.3">
      <c r="A14" s="18" t="s">
        <v>58</v>
      </c>
      <c r="B14" s="5">
        <v>6346.7868477645925</v>
      </c>
      <c r="C14" s="5">
        <v>1872.0599352652052</v>
      </c>
      <c r="D14" s="5">
        <v>0.55293310256264083</v>
      </c>
      <c r="E14" s="5">
        <f t="shared" si="0"/>
        <v>8219.3997161323605</v>
      </c>
      <c r="F14" s="5">
        <v>0.61812153961396576</v>
      </c>
      <c r="G14" s="5">
        <v>2749.4721623280257</v>
      </c>
      <c r="H14" s="5">
        <f t="shared" si="1"/>
        <v>2750.0902838676398</v>
      </c>
      <c r="I14" s="5">
        <f t="shared" si="2"/>
        <v>10969.49</v>
      </c>
      <c r="J14" s="91"/>
      <c r="K14" s="7">
        <v>7808.97</v>
      </c>
      <c r="L14" s="85">
        <f t="shared" si="3"/>
        <v>3160.5199999999995</v>
      </c>
    </row>
    <row r="15" spans="1:13" ht="15.75" customHeight="1" x14ac:dyDescent="0.3">
      <c r="A15" s="18" t="s">
        <v>57</v>
      </c>
      <c r="B15" s="5">
        <v>3905.9129667217917</v>
      </c>
      <c r="C15" s="5">
        <v>8548.3394303707846</v>
      </c>
      <c r="D15" s="5">
        <v>1535.5806496105661</v>
      </c>
      <c r="E15" s="5">
        <f t="shared" si="0"/>
        <v>13989.833046703141</v>
      </c>
      <c r="F15" s="5">
        <v>3234.0575315985006</v>
      </c>
      <c r="G15" s="74">
        <f>96364.4894216984-G40</f>
        <v>7047.0194216983946</v>
      </c>
      <c r="H15" s="5">
        <f t="shared" si="1"/>
        <v>10281.076953296895</v>
      </c>
      <c r="I15" s="5">
        <f t="shared" si="2"/>
        <v>24270.910000000036</v>
      </c>
      <c r="J15" s="91"/>
      <c r="K15" s="7">
        <f>113987.06-K40</f>
        <v>23538.059999999998</v>
      </c>
      <c r="L15" s="85">
        <f t="shared" si="3"/>
        <v>732.85000000003856</v>
      </c>
    </row>
    <row r="16" spans="1:13" ht="15.75" customHeight="1" x14ac:dyDescent="0.3">
      <c r="A16" s="18" t="s">
        <v>56</v>
      </c>
      <c r="B16" s="5">
        <v>9748.5499999999993</v>
      </c>
      <c r="C16" s="5">
        <v>0</v>
      </c>
      <c r="D16" s="5">
        <v>0</v>
      </c>
      <c r="E16" s="5">
        <f t="shared" si="0"/>
        <v>9748.5499999999993</v>
      </c>
      <c r="F16" s="5">
        <v>0</v>
      </c>
      <c r="G16" s="5">
        <v>0</v>
      </c>
      <c r="H16" s="5">
        <f t="shared" si="1"/>
        <v>0</v>
      </c>
      <c r="I16" s="5">
        <f t="shared" si="2"/>
        <v>9748.5499999999993</v>
      </c>
      <c r="J16" s="91"/>
      <c r="K16" s="7">
        <v>17544.98</v>
      </c>
      <c r="L16" s="85">
        <f t="shared" si="3"/>
        <v>-7796.43</v>
      </c>
    </row>
    <row r="17" spans="1:13" ht="15.75" customHeight="1" x14ac:dyDescent="0.3">
      <c r="A17" s="18" t="s">
        <v>74</v>
      </c>
      <c r="B17" s="5">
        <v>0</v>
      </c>
      <c r="C17" s="5">
        <v>0</v>
      </c>
      <c r="D17" s="5">
        <v>0</v>
      </c>
      <c r="E17" s="5">
        <f t="shared" si="0"/>
        <v>0</v>
      </c>
      <c r="F17" s="5">
        <v>0</v>
      </c>
      <c r="G17" s="5">
        <v>0</v>
      </c>
      <c r="H17" s="5">
        <f t="shared" si="1"/>
        <v>0</v>
      </c>
      <c r="I17" s="5">
        <f t="shared" si="2"/>
        <v>0</v>
      </c>
      <c r="J17" s="91"/>
      <c r="K17" s="7">
        <v>0</v>
      </c>
      <c r="L17" s="85">
        <f t="shared" si="3"/>
        <v>0</v>
      </c>
    </row>
    <row r="18" spans="1:13" ht="15.75" customHeight="1" x14ac:dyDescent="0.3">
      <c r="A18" s="18" t="s">
        <v>55</v>
      </c>
      <c r="B18" s="5">
        <v>0</v>
      </c>
      <c r="C18" s="5">
        <v>0</v>
      </c>
      <c r="D18" s="5">
        <v>8.9499999999999993</v>
      </c>
      <c r="E18" s="5">
        <f t="shared" si="0"/>
        <v>8.9499999999999993</v>
      </c>
      <c r="F18" s="5">
        <v>0</v>
      </c>
      <c r="G18" s="5">
        <v>16.489999999999998</v>
      </c>
      <c r="H18" s="5">
        <f t="shared" si="1"/>
        <v>16.489999999999998</v>
      </c>
      <c r="I18" s="5">
        <f t="shared" si="2"/>
        <v>25.439999999999998</v>
      </c>
      <c r="J18" s="91"/>
      <c r="K18" s="7">
        <v>3645.79</v>
      </c>
      <c r="L18" s="85">
        <f t="shared" si="3"/>
        <v>-3620.35</v>
      </c>
    </row>
    <row r="19" spans="1:13" ht="15.75" customHeight="1" x14ac:dyDescent="0.3">
      <c r="A19" s="18" t="s">
        <v>54</v>
      </c>
      <c r="B19" s="5">
        <v>0</v>
      </c>
      <c r="C19" s="5">
        <v>0</v>
      </c>
      <c r="D19" s="5">
        <v>116.49</v>
      </c>
      <c r="E19" s="5">
        <f t="shared" si="0"/>
        <v>116.49</v>
      </c>
      <c r="F19" s="5">
        <v>0</v>
      </c>
      <c r="G19" s="5">
        <v>40</v>
      </c>
      <c r="H19" s="5">
        <f t="shared" si="1"/>
        <v>40</v>
      </c>
      <c r="I19" s="5">
        <f t="shared" si="2"/>
        <v>156.49</v>
      </c>
      <c r="J19" s="91"/>
      <c r="K19" s="7">
        <v>100</v>
      </c>
      <c r="L19" s="85">
        <f t="shared" si="3"/>
        <v>56.490000000000009</v>
      </c>
    </row>
    <row r="20" spans="1:13" ht="15.75" customHeight="1" x14ac:dyDescent="0.3">
      <c r="A20" s="18" t="s">
        <v>53</v>
      </c>
      <c r="B20" s="5">
        <v>0</v>
      </c>
      <c r="C20" s="5">
        <v>0</v>
      </c>
      <c r="D20" s="5">
        <v>0</v>
      </c>
      <c r="E20" s="5">
        <f t="shared" si="0"/>
        <v>0</v>
      </c>
      <c r="F20" s="5">
        <v>0</v>
      </c>
      <c r="G20" s="5">
        <v>213.02</v>
      </c>
      <c r="H20" s="5">
        <f t="shared" si="1"/>
        <v>213.02</v>
      </c>
      <c r="I20" s="5">
        <f t="shared" si="2"/>
        <v>213.02</v>
      </c>
      <c r="J20" s="91"/>
      <c r="K20" s="7">
        <v>1955.02</v>
      </c>
      <c r="L20" s="85">
        <f t="shared" si="3"/>
        <v>-1742</v>
      </c>
    </row>
    <row r="21" spans="1:13" ht="15.75" customHeight="1" x14ac:dyDescent="0.3">
      <c r="A21" s="18" t="s">
        <v>73</v>
      </c>
      <c r="B21" s="5">
        <v>2144.1522545140328</v>
      </c>
      <c r="C21" s="5">
        <v>180.04078081351869</v>
      </c>
      <c r="D21" s="5">
        <v>2531.5039705462318</v>
      </c>
      <c r="E21" s="5">
        <f t="shared" si="0"/>
        <v>4855.6970058737834</v>
      </c>
      <c r="F21" s="5">
        <v>35.218153313191493</v>
      </c>
      <c r="G21" s="5">
        <v>163.07484081302539</v>
      </c>
      <c r="H21" s="5">
        <f t="shared" si="1"/>
        <v>198.29299412621688</v>
      </c>
      <c r="I21" s="5">
        <f t="shared" si="2"/>
        <v>5053.9900000000007</v>
      </c>
      <c r="J21" s="91"/>
      <c r="K21" s="7">
        <v>3996.1</v>
      </c>
      <c r="L21" s="85">
        <f t="shared" si="3"/>
        <v>1057.8900000000008</v>
      </c>
    </row>
    <row r="22" spans="1:13" ht="15.75" customHeight="1" x14ac:dyDescent="0.3">
      <c r="A22" s="18" t="s">
        <v>117</v>
      </c>
      <c r="B22" s="5">
        <v>408</v>
      </c>
      <c r="C22" s="5">
        <v>0</v>
      </c>
      <c r="D22" s="5">
        <v>0</v>
      </c>
      <c r="E22" s="5">
        <f t="shared" si="0"/>
        <v>408</v>
      </c>
      <c r="F22" s="5">
        <v>0</v>
      </c>
      <c r="G22" s="5">
        <v>20.97</v>
      </c>
      <c r="H22" s="5">
        <f t="shared" si="1"/>
        <v>20.97</v>
      </c>
      <c r="I22" s="5">
        <f t="shared" si="2"/>
        <v>428.97</v>
      </c>
      <c r="J22" s="91"/>
      <c r="K22" s="7">
        <v>6165.49</v>
      </c>
      <c r="L22" s="85">
        <f t="shared" si="3"/>
        <v>-5736.5199999999995</v>
      </c>
    </row>
    <row r="23" spans="1:13" ht="15.75" customHeight="1" x14ac:dyDescent="0.3">
      <c r="A23" s="18" t="s">
        <v>52</v>
      </c>
      <c r="B23" s="5">
        <v>1556.04</v>
      </c>
      <c r="C23" s="5">
        <v>0</v>
      </c>
      <c r="D23" s="5">
        <v>65</v>
      </c>
      <c r="E23" s="5">
        <f t="shared" si="0"/>
        <v>1621.04</v>
      </c>
      <c r="F23" s="5">
        <v>0</v>
      </c>
      <c r="G23" s="5">
        <v>2020.29</v>
      </c>
      <c r="H23" s="5">
        <f t="shared" si="1"/>
        <v>2020.29</v>
      </c>
      <c r="I23" s="5">
        <f t="shared" si="2"/>
        <v>3641.33</v>
      </c>
      <c r="J23" s="91"/>
      <c r="K23" s="7">
        <v>4292.9399999999996</v>
      </c>
      <c r="L23" s="85">
        <f t="shared" si="3"/>
        <v>-651.60999999999967</v>
      </c>
    </row>
    <row r="24" spans="1:13" ht="15.75" customHeight="1" x14ac:dyDescent="0.3">
      <c r="A24" s="18" t="s">
        <v>51</v>
      </c>
      <c r="B24" s="5">
        <v>3899.5130359136979</v>
      </c>
      <c r="C24" s="5">
        <v>1394.7121717846032</v>
      </c>
      <c r="D24" s="5">
        <v>197.85999546503473</v>
      </c>
      <c r="E24" s="5">
        <f t="shared" si="0"/>
        <v>5492.0852031633358</v>
      </c>
      <c r="F24" s="5">
        <v>295.43683880208494</v>
      </c>
      <c r="G24" s="5">
        <v>1024.1879580345783</v>
      </c>
      <c r="H24" s="5">
        <f t="shared" si="1"/>
        <v>1319.6247968366633</v>
      </c>
      <c r="I24" s="5">
        <f t="shared" si="2"/>
        <v>6811.7099999999991</v>
      </c>
      <c r="J24" s="91"/>
      <c r="K24" s="7">
        <v>14996.69</v>
      </c>
      <c r="L24" s="85">
        <f t="shared" si="3"/>
        <v>-8184.9800000000014</v>
      </c>
      <c r="M24" s="136" t="s">
        <v>186</v>
      </c>
    </row>
    <row r="25" spans="1:13" ht="15.75" customHeight="1" x14ac:dyDescent="0.3">
      <c r="A25" s="18" t="s">
        <v>50</v>
      </c>
      <c r="B25" s="5">
        <v>5964.7752625082749</v>
      </c>
      <c r="C25" s="5">
        <v>1745.7228361442865</v>
      </c>
      <c r="D25" s="5">
        <v>305.47079702313738</v>
      </c>
      <c r="E25" s="5">
        <f t="shared" si="0"/>
        <v>8015.9688956756991</v>
      </c>
      <c r="F25" s="5">
        <v>341.484491501675</v>
      </c>
      <c r="G25" s="5">
        <v>1581.2166128226254</v>
      </c>
      <c r="H25" s="5">
        <f t="shared" si="1"/>
        <v>1922.7011043243003</v>
      </c>
      <c r="I25" s="5">
        <f t="shared" si="2"/>
        <v>9938.67</v>
      </c>
      <c r="J25" s="91"/>
      <c r="K25" s="7">
        <v>10029.02</v>
      </c>
      <c r="L25" s="85">
        <f t="shared" si="3"/>
        <v>-90.350000000000364</v>
      </c>
    </row>
    <row r="26" spans="1:13" ht="15.75" customHeight="1" x14ac:dyDescent="0.3">
      <c r="A26" s="18" t="s">
        <v>49</v>
      </c>
      <c r="B26" s="5">
        <v>0</v>
      </c>
      <c r="C26" s="5">
        <v>0</v>
      </c>
      <c r="D26" s="5">
        <v>0</v>
      </c>
      <c r="E26" s="5">
        <f t="shared" si="0"/>
        <v>0</v>
      </c>
      <c r="F26" s="5">
        <v>0</v>
      </c>
      <c r="G26" s="5">
        <v>0</v>
      </c>
      <c r="H26" s="5">
        <f t="shared" si="1"/>
        <v>0</v>
      </c>
      <c r="I26" s="5">
        <f t="shared" si="2"/>
        <v>0</v>
      </c>
      <c r="J26" s="91"/>
      <c r="K26" s="7">
        <v>0</v>
      </c>
      <c r="L26" s="85">
        <f t="shared" si="3"/>
        <v>0</v>
      </c>
    </row>
    <row r="27" spans="1:13" ht="15.75" customHeight="1" x14ac:dyDescent="0.3">
      <c r="A27" s="18" t="s">
        <v>48</v>
      </c>
      <c r="B27" s="5">
        <v>8736.5343386082932</v>
      </c>
      <c r="C27" s="5">
        <v>2556.939169113592</v>
      </c>
      <c r="D27" s="5">
        <v>447.41938969758144</v>
      </c>
      <c r="E27" s="5">
        <f t="shared" si="0"/>
        <v>11740.892897419466</v>
      </c>
      <c r="F27" s="5">
        <v>500.16821335394553</v>
      </c>
      <c r="G27" s="5">
        <v>2315.9888892265863</v>
      </c>
      <c r="H27" s="5">
        <f t="shared" si="1"/>
        <v>2816.157102580532</v>
      </c>
      <c r="I27" s="5">
        <f t="shared" si="2"/>
        <v>14557.049999999997</v>
      </c>
      <c r="J27" s="91"/>
      <c r="K27" s="7">
        <v>17388.91</v>
      </c>
      <c r="L27" s="85">
        <f t="shared" si="3"/>
        <v>-2831.8600000000024</v>
      </c>
    </row>
    <row r="28" spans="1:13" ht="15.75" customHeight="1" x14ac:dyDescent="0.3">
      <c r="A28" s="18" t="s">
        <v>47</v>
      </c>
      <c r="B28" s="5">
        <v>10542.264348158071</v>
      </c>
      <c r="C28" s="5">
        <v>2107.6032737253895</v>
      </c>
      <c r="D28" s="5">
        <v>73.073229165126591</v>
      </c>
      <c r="E28" s="5">
        <f t="shared" si="0"/>
        <v>12722.940851048588</v>
      </c>
      <c r="F28" s="5">
        <v>81.688248916142939</v>
      </c>
      <c r="G28" s="5">
        <v>11648.130900035268</v>
      </c>
      <c r="H28" s="5">
        <f t="shared" si="1"/>
        <v>11729.819148951412</v>
      </c>
      <c r="I28" s="5">
        <f t="shared" si="2"/>
        <v>24452.760000000002</v>
      </c>
      <c r="J28" s="91"/>
      <c r="K28" s="7">
        <v>24489.87</v>
      </c>
      <c r="L28" s="85">
        <f t="shared" si="3"/>
        <v>-37.109999999996944</v>
      </c>
    </row>
    <row r="29" spans="1:13" ht="15.75" customHeight="1" x14ac:dyDescent="0.3">
      <c r="A29" s="18" t="s">
        <v>46</v>
      </c>
      <c r="B29" s="5">
        <v>97.046928457853923</v>
      </c>
      <c r="C29" s="5">
        <v>1073.2426259818101</v>
      </c>
      <c r="D29" s="5">
        <v>4.0635511667485682</v>
      </c>
      <c r="E29" s="5">
        <f t="shared" si="0"/>
        <v>1174.3531056064126</v>
      </c>
      <c r="F29" s="5">
        <v>127.94262638979225</v>
      </c>
      <c r="G29" s="5">
        <v>343.92426800379519</v>
      </c>
      <c r="H29" s="5">
        <f t="shared" si="1"/>
        <v>471.86689439358747</v>
      </c>
      <c r="I29" s="5">
        <f t="shared" si="2"/>
        <v>1646.22</v>
      </c>
      <c r="J29" s="91"/>
      <c r="K29" s="7">
        <v>2086.4699999999998</v>
      </c>
      <c r="L29" s="85">
        <f t="shared" si="3"/>
        <v>-440.24999999999977</v>
      </c>
    </row>
    <row r="30" spans="1:13" ht="15.75" customHeight="1" x14ac:dyDescent="0.3">
      <c r="A30" s="18" t="s">
        <v>45</v>
      </c>
      <c r="B30" s="5">
        <v>27841.613473093177</v>
      </c>
      <c r="C30" s="5">
        <v>8148.4613076004853</v>
      </c>
      <c r="D30" s="5">
        <v>1425.8374345623713</v>
      </c>
      <c r="E30" s="5">
        <f t="shared" si="0"/>
        <v>37415.912215256038</v>
      </c>
      <c r="F30" s="5">
        <f>1593.93754182238-69</f>
        <v>1524.9375418223799</v>
      </c>
      <c r="G30" s="5">
        <v>7380.6002429215741</v>
      </c>
      <c r="H30" s="5">
        <f t="shared" si="1"/>
        <v>8905.537784743954</v>
      </c>
      <c r="I30" s="5">
        <f t="shared" si="2"/>
        <v>46321.44999999999</v>
      </c>
      <c r="J30" s="91"/>
      <c r="K30" s="7">
        <v>45858.57</v>
      </c>
      <c r="L30" s="85">
        <f t="shared" si="3"/>
        <v>462.8799999999901</v>
      </c>
    </row>
    <row r="31" spans="1:13" ht="15.75" customHeight="1" x14ac:dyDescent="0.3">
      <c r="A31" s="1" t="s">
        <v>134</v>
      </c>
      <c r="B31" s="5">
        <v>0</v>
      </c>
      <c r="C31" s="5">
        <v>0</v>
      </c>
      <c r="D31" s="5">
        <v>0</v>
      </c>
      <c r="E31" s="5">
        <f t="shared" si="0"/>
        <v>0</v>
      </c>
      <c r="F31" s="5">
        <v>0</v>
      </c>
      <c r="G31" s="5">
        <v>0</v>
      </c>
      <c r="H31" s="5">
        <f t="shared" si="1"/>
        <v>0</v>
      </c>
      <c r="I31" s="5">
        <f t="shared" si="2"/>
        <v>0</v>
      </c>
      <c r="J31" s="91"/>
      <c r="K31" s="7">
        <v>0</v>
      </c>
      <c r="L31" s="85">
        <f t="shared" si="3"/>
        <v>0</v>
      </c>
    </row>
    <row r="32" spans="1:13" ht="15.75" customHeight="1" x14ac:dyDescent="0.3">
      <c r="A32" s="18" t="s">
        <v>44</v>
      </c>
      <c r="B32" s="5">
        <v>5676.8613226467951</v>
      </c>
      <c r="C32" s="5">
        <v>1661.4584812372921</v>
      </c>
      <c r="D32" s="5">
        <v>290.72601674007041</v>
      </c>
      <c r="E32" s="5">
        <f t="shared" si="0"/>
        <v>7629.0458206241574</v>
      </c>
      <c r="F32" s="5">
        <v>325.0013649758825</v>
      </c>
      <c r="G32" s="5">
        <v>1504.8928143999594</v>
      </c>
      <c r="H32" s="5">
        <f t="shared" si="1"/>
        <v>1829.894179375842</v>
      </c>
      <c r="I32" s="5">
        <f t="shared" si="2"/>
        <v>9458.9399999999987</v>
      </c>
      <c r="J32" s="91"/>
      <c r="K32" s="7">
        <v>8512.75</v>
      </c>
      <c r="L32" s="85">
        <f t="shared" si="3"/>
        <v>946.18999999999869</v>
      </c>
    </row>
    <row r="33" spans="1:13" ht="15.75" customHeight="1" x14ac:dyDescent="0.3">
      <c r="A33" s="18" t="s">
        <v>43</v>
      </c>
      <c r="B33" s="5">
        <v>661.21240064950757</v>
      </c>
      <c r="C33" s="5">
        <v>193.5183701909053</v>
      </c>
      <c r="D33" s="5">
        <v>33.862311677950991</v>
      </c>
      <c r="E33" s="5">
        <f t="shared" si="0"/>
        <v>888.59308251836387</v>
      </c>
      <c r="F33" s="5">
        <v>37.854532731456061</v>
      </c>
      <c r="G33" s="5">
        <v>1896.76238475018</v>
      </c>
      <c r="H33" s="5">
        <f t="shared" si="1"/>
        <v>1934.6169174816359</v>
      </c>
      <c r="I33" s="5">
        <f t="shared" si="2"/>
        <v>2823.21</v>
      </c>
      <c r="J33" s="91"/>
      <c r="K33" s="7">
        <v>3450.25</v>
      </c>
      <c r="L33" s="85">
        <f t="shared" si="3"/>
        <v>-627.04</v>
      </c>
    </row>
    <row r="34" spans="1:13" ht="15.75" customHeight="1" x14ac:dyDescent="0.3">
      <c r="A34" s="18" t="s">
        <v>42</v>
      </c>
      <c r="B34" s="9">
        <v>1399.0170031732403</v>
      </c>
      <c r="C34" s="9">
        <v>4690.6931349646602</v>
      </c>
      <c r="D34" s="9">
        <v>71.64709820576546</v>
      </c>
      <c r="E34" s="5">
        <f t="shared" si="0"/>
        <v>6161.357236343666</v>
      </c>
      <c r="F34" s="9">
        <v>125.25398324420918</v>
      </c>
      <c r="G34" s="9">
        <v>9082.9587804121238</v>
      </c>
      <c r="H34" s="5">
        <f t="shared" si="1"/>
        <v>9208.2127636563328</v>
      </c>
      <c r="I34" s="5">
        <f t="shared" si="2"/>
        <v>15369.57</v>
      </c>
      <c r="J34" s="91"/>
      <c r="K34" s="7">
        <v>12141.02</v>
      </c>
      <c r="L34" s="85">
        <f t="shared" si="3"/>
        <v>3228.5499999999993</v>
      </c>
    </row>
    <row r="35" spans="1:13" ht="15.75" customHeight="1" x14ac:dyDescent="0.3">
      <c r="A35" s="18" t="s">
        <v>72</v>
      </c>
      <c r="B35" s="7">
        <v>1200.3165941737225</v>
      </c>
      <c r="C35" s="7">
        <v>351.29908451418277</v>
      </c>
      <c r="D35" s="7">
        <v>61.471162041427554</v>
      </c>
      <c r="E35" s="5">
        <f t="shared" si="0"/>
        <v>1613.0868407293328</v>
      </c>
      <c r="F35" s="7">
        <v>68.718347928178517</v>
      </c>
      <c r="G35" s="7">
        <v>417.85481134248857</v>
      </c>
      <c r="H35" s="5">
        <f t="shared" si="1"/>
        <v>486.57315927066708</v>
      </c>
      <c r="I35" s="5">
        <f t="shared" si="2"/>
        <v>2099.66</v>
      </c>
      <c r="J35" s="91"/>
      <c r="K35" s="7">
        <v>3131.39</v>
      </c>
      <c r="L35" s="85">
        <f t="shared" si="3"/>
        <v>-1031.73</v>
      </c>
    </row>
    <row r="36" spans="1:13" ht="15.75" customHeight="1" x14ac:dyDescent="0.3">
      <c r="A36" s="1" t="s">
        <v>129</v>
      </c>
      <c r="B36" s="7">
        <v>0</v>
      </c>
      <c r="C36" s="7">
        <v>0</v>
      </c>
      <c r="D36" s="7">
        <v>0</v>
      </c>
      <c r="E36" s="5">
        <f t="shared" si="0"/>
        <v>0</v>
      </c>
      <c r="F36" s="7">
        <v>0</v>
      </c>
      <c r="G36" s="7">
        <v>500</v>
      </c>
      <c r="H36" s="5">
        <f t="shared" si="1"/>
        <v>500</v>
      </c>
      <c r="I36" s="5">
        <f t="shared" si="2"/>
        <v>500</v>
      </c>
      <c r="J36" s="91"/>
      <c r="K36" s="7">
        <v>0</v>
      </c>
      <c r="L36" s="85">
        <f t="shared" si="3"/>
        <v>500</v>
      </c>
    </row>
    <row r="37" spans="1:13" ht="18" customHeight="1" x14ac:dyDescent="0.3">
      <c r="A37" s="18" t="s">
        <v>120</v>
      </c>
      <c r="B37" s="96">
        <v>29363.716941415965</v>
      </c>
      <c r="C37" s="96">
        <v>8593.9384071866534</v>
      </c>
      <c r="D37" s="96">
        <v>1503.788093079675</v>
      </c>
      <c r="E37" s="5">
        <f t="shared" si="0"/>
        <v>39461.443441682291</v>
      </c>
      <c r="F37" s="96">
        <v>1681.0782480548889</v>
      </c>
      <c r="G37" s="96">
        <v>7784.0983102628143</v>
      </c>
      <c r="H37" s="5">
        <f t="shared" si="1"/>
        <v>9465.1765583177039</v>
      </c>
      <c r="I37" s="5">
        <f t="shared" si="2"/>
        <v>48926.619999999995</v>
      </c>
      <c r="J37" s="97"/>
      <c r="K37" s="96">
        <v>51256.160000000003</v>
      </c>
      <c r="L37" s="85">
        <f t="shared" si="3"/>
        <v>-2329.5400000000081</v>
      </c>
    </row>
    <row r="38" spans="1:13" s="46" customFormat="1" ht="15" x14ac:dyDescent="0.25">
      <c r="A38" s="46" t="s">
        <v>75</v>
      </c>
      <c r="B38" s="98">
        <f t="shared" ref="B38:I38" si="4">SUM(B8:B37)</f>
        <v>733148.64</v>
      </c>
      <c r="C38" s="98">
        <f t="shared" si="4"/>
        <v>456058.95</v>
      </c>
      <c r="D38" s="98">
        <f t="shared" si="4"/>
        <v>15398.679999999997</v>
      </c>
      <c r="E38" s="98">
        <f t="shared" si="4"/>
        <v>1204606.2699999998</v>
      </c>
      <c r="F38" s="98">
        <f t="shared" si="4"/>
        <v>81292.079999999987</v>
      </c>
      <c r="G38" s="98">
        <f t="shared" si="4"/>
        <v>287756.39</v>
      </c>
      <c r="H38" s="98">
        <f t="shared" si="4"/>
        <v>369048.47</v>
      </c>
      <c r="I38" s="98">
        <f t="shared" si="4"/>
        <v>1573654.7399999998</v>
      </c>
      <c r="J38" s="99"/>
      <c r="K38" s="100">
        <f>SUM(K8:K37)</f>
        <v>1495798.52</v>
      </c>
      <c r="L38" s="100">
        <f>SUM(L8:L37)</f>
        <v>77856.220000000103</v>
      </c>
      <c r="M38" s="135"/>
    </row>
    <row r="39" spans="1:13" s="46" customFormat="1" ht="15" x14ac:dyDescent="0.25">
      <c r="B39" s="47"/>
      <c r="C39" s="47"/>
      <c r="D39" s="47"/>
      <c r="E39" s="47"/>
      <c r="F39" s="47"/>
      <c r="G39" s="47"/>
      <c r="H39" s="47"/>
      <c r="I39" s="47"/>
      <c r="J39" s="93"/>
      <c r="K39" s="59"/>
      <c r="L39" s="47"/>
      <c r="M39" s="135"/>
    </row>
    <row r="40" spans="1:13" s="46" customFormat="1" ht="15" x14ac:dyDescent="0.25">
      <c r="A40" s="46" t="s">
        <v>144</v>
      </c>
      <c r="B40" s="89"/>
      <c r="C40" s="89"/>
      <c r="D40" s="89"/>
      <c r="E40" s="89"/>
      <c r="F40" s="89"/>
      <c r="G40" s="89">
        <v>89317.47</v>
      </c>
      <c r="H40" s="89"/>
      <c r="I40" s="89"/>
      <c r="J40" s="94"/>
      <c r="K40" s="90">
        <v>90449</v>
      </c>
      <c r="L40" s="89"/>
      <c r="M40" s="135"/>
    </row>
    <row r="41" spans="1:13" s="46" customFormat="1" ht="15" x14ac:dyDescent="0.25">
      <c r="B41" s="47"/>
      <c r="C41" s="47"/>
      <c r="D41" s="47"/>
      <c r="E41" s="47"/>
      <c r="F41" s="47"/>
      <c r="G41" s="47"/>
      <c r="H41" s="47"/>
      <c r="I41" s="47"/>
      <c r="J41" s="93"/>
      <c r="K41" s="95"/>
      <c r="L41" s="47"/>
      <c r="M41" s="135"/>
    </row>
    <row r="42" spans="1:13" x14ac:dyDescent="0.3">
      <c r="A42" s="46" t="s">
        <v>145</v>
      </c>
      <c r="B42" s="47">
        <f>B38+B40</f>
        <v>733148.64</v>
      </c>
      <c r="C42" s="47">
        <f t="shared" ref="C42:G42" si="5">C38+C40</f>
        <v>456058.95</v>
      </c>
      <c r="D42" s="47">
        <f t="shared" si="5"/>
        <v>15398.679999999997</v>
      </c>
      <c r="E42" s="47">
        <f t="shared" si="5"/>
        <v>1204606.2699999998</v>
      </c>
      <c r="F42" s="47">
        <f t="shared" si="5"/>
        <v>81292.079999999987</v>
      </c>
      <c r="G42" s="47">
        <f t="shared" si="5"/>
        <v>377073.86</v>
      </c>
      <c r="H42" s="47">
        <f>F42+G42</f>
        <v>458365.93999999994</v>
      </c>
      <c r="I42" s="47">
        <f>E42+H42</f>
        <v>1662972.2099999997</v>
      </c>
      <c r="J42" s="91"/>
      <c r="K42" s="59">
        <f>K38+K40</f>
        <v>1586247.52</v>
      </c>
      <c r="L42" s="47">
        <f>I42-K42</f>
        <v>76724.689999999711</v>
      </c>
    </row>
    <row r="43" spans="1:13" x14ac:dyDescent="0.3">
      <c r="A43" s="46"/>
      <c r="B43" s="47"/>
      <c r="C43" s="47"/>
      <c r="D43" s="47"/>
      <c r="E43" s="47"/>
      <c r="F43" s="47"/>
      <c r="G43" s="47"/>
      <c r="H43" s="47"/>
      <c r="I43" s="47"/>
      <c r="J43" s="91"/>
    </row>
    <row r="44" spans="1:13" x14ac:dyDescent="0.3">
      <c r="A44" s="46" t="s">
        <v>122</v>
      </c>
      <c r="B44" s="41">
        <f>B38/I38</f>
        <v>0.46588913143679794</v>
      </c>
      <c r="C44" s="41">
        <f>C38/I38</f>
        <v>0.28980877342891626</v>
      </c>
      <c r="D44" s="41">
        <f>D38/I38</f>
        <v>9.7852976314232679E-3</v>
      </c>
      <c r="E44" s="41">
        <f>SUM(B44:D44)</f>
        <v>0.76548320249713742</v>
      </c>
      <c r="F44" s="41">
        <f>F38/I38</f>
        <v>5.1658141988629599E-2</v>
      </c>
      <c r="G44" s="41">
        <f>G38/I38</f>
        <v>0.18285865551423311</v>
      </c>
      <c r="H44" s="41">
        <f>F44+G44</f>
        <v>0.23451679750286269</v>
      </c>
      <c r="I44" s="41">
        <f>E44+H44</f>
        <v>1</v>
      </c>
      <c r="J44" s="91"/>
    </row>
    <row r="46" spans="1:13" x14ac:dyDescent="0.3">
      <c r="G46" s="82"/>
      <c r="H46" s="82"/>
    </row>
  </sheetData>
  <mergeCells count="6">
    <mergeCell ref="B1:I1"/>
    <mergeCell ref="B2:I2"/>
    <mergeCell ref="B3:I3"/>
    <mergeCell ref="B4:I4"/>
    <mergeCell ref="B5:E5"/>
    <mergeCell ref="F5:H5"/>
  </mergeCells>
  <pageMargins left="0.25" right="0" top="0.25" bottom="0.25" header="0.5" footer="0.5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77A6-40C9-4D9E-9A79-7CAB5FD50822}">
  <dimension ref="A1:O45"/>
  <sheetViews>
    <sheetView zoomScale="90" zoomScaleNormal="90" workbookViewId="0">
      <selection activeCell="M24" sqref="M24"/>
    </sheetView>
  </sheetViews>
  <sheetFormatPr defaultRowHeight="16.5" x14ac:dyDescent="0.3"/>
  <cols>
    <col min="1" max="1" width="29" style="102" customWidth="1"/>
    <col min="2" max="2" width="29.7109375" style="102" customWidth="1"/>
    <col min="3" max="6" width="14.5703125" style="102" customWidth="1"/>
    <col min="7" max="7" width="14.42578125" style="102" customWidth="1"/>
    <col min="8" max="8" width="9.140625" style="103"/>
    <col min="9" max="9" width="12.7109375" style="104" bestFit="1" customWidth="1"/>
    <col min="10" max="10" width="12.42578125" style="102" bestFit="1" customWidth="1"/>
    <col min="11" max="11" width="13.140625" style="102" customWidth="1"/>
    <col min="12" max="14" width="9.140625" style="102"/>
    <col min="15" max="15" width="27.5703125" style="104" customWidth="1"/>
    <col min="16" max="16384" width="9.140625" style="102"/>
  </cols>
  <sheetData>
    <row r="1" spans="1:11" ht="19.899999999999999" customHeight="1" x14ac:dyDescent="0.3">
      <c r="A1" s="152" t="s">
        <v>0</v>
      </c>
      <c r="B1" s="152"/>
      <c r="C1" s="152"/>
      <c r="D1" s="152"/>
      <c r="E1" s="152"/>
      <c r="F1" s="152"/>
      <c r="G1" s="152"/>
    </row>
    <row r="2" spans="1:11" ht="19.899999999999999" customHeight="1" x14ac:dyDescent="0.3">
      <c r="A2" s="152" t="s">
        <v>80</v>
      </c>
      <c r="B2" s="152"/>
      <c r="C2" s="152"/>
      <c r="D2" s="152"/>
      <c r="E2" s="152"/>
      <c r="F2" s="152"/>
      <c r="G2" s="152"/>
    </row>
    <row r="3" spans="1:11" ht="21" customHeight="1" x14ac:dyDescent="0.3">
      <c r="A3" s="153">
        <v>46022</v>
      </c>
      <c r="B3" s="153"/>
      <c r="C3" s="153"/>
      <c r="D3" s="153"/>
      <c r="E3" s="153"/>
      <c r="F3" s="153"/>
      <c r="G3" s="153"/>
    </row>
    <row r="4" spans="1:11" ht="50.25" customHeight="1" x14ac:dyDescent="0.3">
      <c r="A4" s="154"/>
      <c r="B4" s="154"/>
      <c r="C4" s="105" t="s">
        <v>150</v>
      </c>
      <c r="D4" s="106" t="s">
        <v>81</v>
      </c>
      <c r="E4" s="105" t="s">
        <v>146</v>
      </c>
      <c r="F4" s="106" t="s">
        <v>115</v>
      </c>
      <c r="G4" s="105" t="s">
        <v>160</v>
      </c>
    </row>
    <row r="5" spans="1:11" ht="15.75" customHeight="1" x14ac:dyDescent="0.3">
      <c r="A5" s="151" t="s">
        <v>82</v>
      </c>
      <c r="B5" s="151"/>
      <c r="C5" s="108">
        <v>4378979</v>
      </c>
      <c r="D5" s="108"/>
      <c r="E5" s="108">
        <v>16715</v>
      </c>
      <c r="F5" s="108"/>
      <c r="G5" s="109">
        <f>C5+D5+E5+F5</f>
        <v>4395694</v>
      </c>
      <c r="J5" s="110"/>
      <c r="K5" s="110"/>
    </row>
    <row r="6" spans="1:11" ht="15.75" customHeight="1" x14ac:dyDescent="0.3">
      <c r="A6" s="151" t="s">
        <v>83</v>
      </c>
      <c r="B6" s="151"/>
      <c r="C6" s="108">
        <v>6350</v>
      </c>
      <c r="D6" s="108"/>
      <c r="E6" s="108"/>
      <c r="F6" s="108"/>
      <c r="G6" s="109">
        <f>C6+D6+E6+F6</f>
        <v>6350</v>
      </c>
      <c r="K6" s="110"/>
    </row>
    <row r="7" spans="1:11" ht="15.75" customHeight="1" x14ac:dyDescent="0.3">
      <c r="A7" s="107"/>
      <c r="B7" s="107"/>
      <c r="C7" s="108"/>
      <c r="D7" s="108"/>
      <c r="E7" s="108"/>
      <c r="F7" s="108"/>
      <c r="G7" s="109"/>
      <c r="K7" s="110"/>
    </row>
    <row r="8" spans="1:11" ht="15.75" customHeight="1" x14ac:dyDescent="0.3">
      <c r="A8" s="101" t="s">
        <v>106</v>
      </c>
      <c r="B8" s="107"/>
      <c r="C8" s="108"/>
      <c r="D8" s="108"/>
      <c r="E8" s="108"/>
      <c r="F8" s="108"/>
      <c r="G8" s="109"/>
      <c r="K8" s="110"/>
    </row>
    <row r="9" spans="1:11" ht="15.75" customHeight="1" x14ac:dyDescent="0.3">
      <c r="A9" s="107" t="s">
        <v>123</v>
      </c>
      <c r="B9" s="107"/>
      <c r="C9" s="108">
        <v>0</v>
      </c>
      <c r="D9" s="111">
        <v>88000</v>
      </c>
      <c r="E9" s="111">
        <v>-88000</v>
      </c>
      <c r="F9" s="108"/>
      <c r="G9" s="109">
        <f>C9+D9+E9+F9</f>
        <v>0</v>
      </c>
      <c r="K9" s="110"/>
    </row>
    <row r="10" spans="1:11" ht="15.75" customHeight="1" x14ac:dyDescent="0.3">
      <c r="A10" s="151" t="s">
        <v>84</v>
      </c>
      <c r="B10" s="151"/>
      <c r="C10" s="108">
        <v>8000</v>
      </c>
      <c r="D10" s="108">
        <v>432854</v>
      </c>
      <c r="E10" s="108"/>
      <c r="F10" s="108">
        <v>-355252</v>
      </c>
      <c r="G10" s="109">
        <f t="shared" ref="G10:G25" si="0">C10+D10+E10+F10</f>
        <v>85602</v>
      </c>
      <c r="K10" s="110"/>
    </row>
    <row r="11" spans="1:11" ht="15.75" customHeight="1" x14ac:dyDescent="0.3">
      <c r="A11" s="151" t="s">
        <v>85</v>
      </c>
      <c r="B11" s="151"/>
      <c r="C11" s="108">
        <v>1519196</v>
      </c>
      <c r="D11" s="108"/>
      <c r="E11" s="108"/>
      <c r="F11" s="108"/>
      <c r="G11" s="109">
        <f t="shared" si="0"/>
        <v>1519196</v>
      </c>
      <c r="K11" s="110"/>
    </row>
    <row r="12" spans="1:11" ht="15.75" customHeight="1" x14ac:dyDescent="0.3">
      <c r="A12" s="151" t="s">
        <v>86</v>
      </c>
      <c r="B12" s="151"/>
      <c r="C12" s="108">
        <v>29659</v>
      </c>
      <c r="D12" s="108">
        <v>21000</v>
      </c>
      <c r="E12" s="108"/>
      <c r="F12" s="108">
        <v>-7438</v>
      </c>
      <c r="G12" s="109">
        <f t="shared" si="0"/>
        <v>43221</v>
      </c>
      <c r="K12" s="110"/>
    </row>
    <row r="13" spans="1:11" ht="15.75" customHeight="1" x14ac:dyDescent="0.3">
      <c r="A13" s="151" t="s">
        <v>87</v>
      </c>
      <c r="B13" s="151"/>
      <c r="C13" s="108">
        <v>0</v>
      </c>
      <c r="D13" s="112"/>
      <c r="E13" s="112"/>
      <c r="F13" s="108"/>
      <c r="G13" s="109">
        <f t="shared" si="0"/>
        <v>0</v>
      </c>
      <c r="K13" s="110"/>
    </row>
    <row r="14" spans="1:11" ht="15.75" customHeight="1" x14ac:dyDescent="0.3">
      <c r="A14" s="107" t="s">
        <v>125</v>
      </c>
      <c r="B14" s="107"/>
      <c r="C14" s="108">
        <v>0</v>
      </c>
      <c r="D14" s="108">
        <v>121450</v>
      </c>
      <c r="E14" s="108">
        <v>88000</v>
      </c>
      <c r="F14" s="108">
        <v>-209450</v>
      </c>
      <c r="G14" s="109">
        <f t="shared" si="0"/>
        <v>0</v>
      </c>
      <c r="K14" s="110"/>
    </row>
    <row r="15" spans="1:11" ht="15.75" customHeight="1" x14ac:dyDescent="0.3">
      <c r="A15" s="151" t="s">
        <v>88</v>
      </c>
      <c r="B15" s="151"/>
      <c r="C15" s="108">
        <v>137336</v>
      </c>
      <c r="D15" s="108">
        <v>10000</v>
      </c>
      <c r="E15" s="108"/>
      <c r="F15" s="108"/>
      <c r="G15" s="109">
        <f t="shared" si="0"/>
        <v>147336</v>
      </c>
      <c r="K15" s="110"/>
    </row>
    <row r="16" spans="1:11" ht="15.75" customHeight="1" x14ac:dyDescent="0.3">
      <c r="A16" s="151" t="s">
        <v>89</v>
      </c>
      <c r="B16" s="151"/>
      <c r="C16" s="108">
        <v>0</v>
      </c>
      <c r="D16" s="108">
        <v>40000</v>
      </c>
      <c r="E16" s="108"/>
      <c r="F16" s="108">
        <v>-40000</v>
      </c>
      <c r="G16" s="109">
        <f t="shared" si="0"/>
        <v>0</v>
      </c>
      <c r="K16" s="110"/>
    </row>
    <row r="17" spans="1:11" ht="15.75" customHeight="1" x14ac:dyDescent="0.3">
      <c r="A17" s="107" t="s">
        <v>121</v>
      </c>
      <c r="B17" s="107"/>
      <c r="C17" s="108">
        <v>0</v>
      </c>
      <c r="D17" s="108"/>
      <c r="E17" s="108"/>
      <c r="F17" s="108"/>
      <c r="G17" s="109">
        <f t="shared" si="0"/>
        <v>0</v>
      </c>
      <c r="K17" s="110"/>
    </row>
    <row r="18" spans="1:11" ht="15.75" customHeight="1" x14ac:dyDescent="0.3">
      <c r="A18" s="151" t="s">
        <v>90</v>
      </c>
      <c r="B18" s="151"/>
      <c r="C18" s="108">
        <v>25156</v>
      </c>
      <c r="D18" s="108"/>
      <c r="E18" s="108"/>
      <c r="F18" s="108"/>
      <c r="G18" s="109">
        <f t="shared" si="0"/>
        <v>25156</v>
      </c>
      <c r="K18" s="110"/>
    </row>
    <row r="19" spans="1:11" ht="15.75" customHeight="1" x14ac:dyDescent="0.3">
      <c r="A19" s="151" t="s">
        <v>91</v>
      </c>
      <c r="B19" s="151"/>
      <c r="C19" s="108">
        <v>5529</v>
      </c>
      <c r="D19" s="108"/>
      <c r="E19" s="108"/>
      <c r="F19" s="108"/>
      <c r="G19" s="109">
        <f t="shared" si="0"/>
        <v>5529</v>
      </c>
      <c r="K19" s="110"/>
    </row>
    <row r="20" spans="1:11" ht="15.75" customHeight="1" x14ac:dyDescent="0.3">
      <c r="A20" s="151" t="s">
        <v>92</v>
      </c>
      <c r="B20" s="151"/>
      <c r="C20" s="108">
        <v>12067</v>
      </c>
      <c r="D20" s="108"/>
      <c r="E20" s="108"/>
      <c r="F20" s="108">
        <v>-2750</v>
      </c>
      <c r="G20" s="109">
        <f t="shared" si="0"/>
        <v>9317</v>
      </c>
      <c r="K20" s="110"/>
    </row>
    <row r="21" spans="1:11" ht="15.75" customHeight="1" x14ac:dyDescent="0.3">
      <c r="A21" s="151" t="s">
        <v>93</v>
      </c>
      <c r="B21" s="151"/>
      <c r="C21" s="108">
        <v>0</v>
      </c>
      <c r="D21" s="108">
        <v>15912</v>
      </c>
      <c r="E21" s="108"/>
      <c r="F21" s="108">
        <v>-15251</v>
      </c>
      <c r="G21" s="109">
        <f t="shared" si="0"/>
        <v>661</v>
      </c>
      <c r="K21" s="110"/>
    </row>
    <row r="22" spans="1:11" ht="15.75" customHeight="1" x14ac:dyDescent="0.3">
      <c r="A22" s="151" t="s">
        <v>94</v>
      </c>
      <c r="B22" s="151"/>
      <c r="C22" s="108">
        <v>25517</v>
      </c>
      <c r="D22" s="108"/>
      <c r="E22" s="108"/>
      <c r="F22" s="108">
        <v>-11783</v>
      </c>
      <c r="G22" s="109">
        <f t="shared" si="0"/>
        <v>13734</v>
      </c>
      <c r="K22" s="110"/>
    </row>
    <row r="23" spans="1:11" ht="15.75" customHeight="1" x14ac:dyDescent="0.3">
      <c r="A23" s="151" t="s">
        <v>147</v>
      </c>
      <c r="B23" s="151"/>
      <c r="C23" s="108">
        <v>0</v>
      </c>
      <c r="D23" s="108"/>
      <c r="E23" s="108"/>
      <c r="F23" s="108"/>
      <c r="G23" s="109">
        <f t="shared" si="0"/>
        <v>0</v>
      </c>
      <c r="K23" s="110"/>
    </row>
    <row r="24" spans="1:11" ht="15.75" customHeight="1" x14ac:dyDescent="0.3">
      <c r="A24" s="151" t="s">
        <v>95</v>
      </c>
      <c r="B24" s="151"/>
      <c r="C24" s="108">
        <v>3000</v>
      </c>
      <c r="D24" s="108"/>
      <c r="E24" s="108"/>
      <c r="F24" s="108"/>
      <c r="G24" s="109">
        <f t="shared" si="0"/>
        <v>3000</v>
      </c>
      <c r="K24" s="110"/>
    </row>
    <row r="25" spans="1:11" ht="15.75" customHeight="1" x14ac:dyDescent="0.3">
      <c r="A25" s="107" t="s">
        <v>132</v>
      </c>
      <c r="B25" s="107"/>
      <c r="C25" s="108">
        <v>97</v>
      </c>
      <c r="D25" s="108">
        <v>36207</v>
      </c>
      <c r="E25" s="108">
        <v>-16715</v>
      </c>
      <c r="F25" s="108"/>
      <c r="G25" s="109">
        <f t="shared" si="0"/>
        <v>19589</v>
      </c>
      <c r="H25" s="103" t="s">
        <v>152</v>
      </c>
      <c r="K25" s="110"/>
    </row>
    <row r="26" spans="1:11" ht="15.75" customHeight="1" x14ac:dyDescent="0.3">
      <c r="A26" s="107"/>
      <c r="B26" s="107"/>
      <c r="C26" s="108"/>
      <c r="D26" s="108"/>
      <c r="E26" s="108"/>
      <c r="F26" s="108"/>
      <c r="G26" s="109"/>
      <c r="K26" s="110"/>
    </row>
    <row r="27" spans="1:11" ht="15.75" customHeight="1" x14ac:dyDescent="0.3">
      <c r="A27" s="101" t="s">
        <v>68</v>
      </c>
      <c r="B27" s="107"/>
      <c r="C27" s="108"/>
      <c r="D27" s="108"/>
      <c r="E27" s="108"/>
      <c r="F27" s="108"/>
      <c r="G27" s="109"/>
      <c r="K27" s="110"/>
    </row>
    <row r="28" spans="1:11" ht="15.75" customHeight="1" x14ac:dyDescent="0.3">
      <c r="A28" s="107" t="s">
        <v>126</v>
      </c>
      <c r="B28" s="107"/>
      <c r="C28" s="108">
        <v>0</v>
      </c>
      <c r="D28" s="108">
        <v>8283</v>
      </c>
      <c r="E28" s="108"/>
      <c r="F28" s="113">
        <v>-227</v>
      </c>
      <c r="G28" s="109">
        <f>C28+D28+E28+F28</f>
        <v>8056</v>
      </c>
      <c r="K28" s="110"/>
    </row>
    <row r="29" spans="1:11" ht="15.75" customHeight="1" x14ac:dyDescent="0.3">
      <c r="A29" s="151" t="s">
        <v>105</v>
      </c>
      <c r="B29" s="151"/>
      <c r="C29" s="108">
        <v>0</v>
      </c>
      <c r="D29" s="108"/>
      <c r="E29" s="108"/>
      <c r="F29" s="108"/>
      <c r="G29" s="109">
        <f t="shared" ref="G29:G39" si="1">C29+D29+E29+F29</f>
        <v>0</v>
      </c>
      <c r="K29" s="110"/>
    </row>
    <row r="30" spans="1:11" ht="15.75" customHeight="1" x14ac:dyDescent="0.3">
      <c r="A30" s="151" t="s">
        <v>96</v>
      </c>
      <c r="B30" s="151"/>
      <c r="C30" s="108">
        <v>11073</v>
      </c>
      <c r="D30" s="108">
        <v>88435</v>
      </c>
      <c r="E30" s="108"/>
      <c r="F30" s="108">
        <v>-92573</v>
      </c>
      <c r="G30" s="109">
        <f t="shared" si="1"/>
        <v>6935</v>
      </c>
      <c r="K30" s="110"/>
    </row>
    <row r="31" spans="1:11" ht="15.75" customHeight="1" x14ac:dyDescent="0.3">
      <c r="A31" s="151" t="s">
        <v>97</v>
      </c>
      <c r="B31" s="151"/>
      <c r="C31" s="108">
        <v>6805</v>
      </c>
      <c r="D31" s="108">
        <v>12211</v>
      </c>
      <c r="E31" s="108"/>
      <c r="F31" s="108">
        <v>-16676</v>
      </c>
      <c r="G31" s="109">
        <f t="shared" si="1"/>
        <v>2340</v>
      </c>
      <c r="K31" s="110"/>
    </row>
    <row r="32" spans="1:11" ht="15.75" customHeight="1" x14ac:dyDescent="0.3">
      <c r="A32" s="151" t="s">
        <v>98</v>
      </c>
      <c r="B32" s="151"/>
      <c r="C32" s="108">
        <v>7648</v>
      </c>
      <c r="D32" s="108">
        <v>23151</v>
      </c>
      <c r="E32" s="108"/>
      <c r="F32" s="114">
        <v>-21932</v>
      </c>
      <c r="G32" s="109">
        <f t="shared" si="1"/>
        <v>8867</v>
      </c>
      <c r="K32" s="110"/>
    </row>
    <row r="33" spans="1:15" ht="15.75" customHeight="1" x14ac:dyDescent="0.3">
      <c r="A33" s="151" t="s">
        <v>99</v>
      </c>
      <c r="B33" s="151"/>
      <c r="C33" s="108">
        <v>0</v>
      </c>
      <c r="D33" s="108"/>
      <c r="E33" s="108"/>
      <c r="F33" s="108"/>
      <c r="G33" s="109">
        <f t="shared" si="1"/>
        <v>0</v>
      </c>
      <c r="K33" s="110"/>
    </row>
    <row r="34" spans="1:15" ht="15.75" customHeight="1" x14ac:dyDescent="0.3">
      <c r="A34" s="151" t="s">
        <v>100</v>
      </c>
      <c r="B34" s="151"/>
      <c r="C34" s="108">
        <v>0</v>
      </c>
      <c r="D34" s="108"/>
      <c r="E34" s="108"/>
      <c r="F34" s="108"/>
      <c r="G34" s="109">
        <f t="shared" si="1"/>
        <v>0</v>
      </c>
      <c r="K34" s="110"/>
    </row>
    <row r="35" spans="1:15" ht="15.75" customHeight="1" x14ac:dyDescent="0.3">
      <c r="A35" s="151" t="s">
        <v>101</v>
      </c>
      <c r="B35" s="151"/>
      <c r="C35" s="108">
        <v>5296</v>
      </c>
      <c r="D35" s="108"/>
      <c r="E35" s="108"/>
      <c r="F35" s="108">
        <v>-2326</v>
      </c>
      <c r="G35" s="109">
        <f t="shared" si="1"/>
        <v>2970</v>
      </c>
      <c r="K35" s="110"/>
    </row>
    <row r="36" spans="1:15" ht="15.75" customHeight="1" x14ac:dyDescent="0.3">
      <c r="A36" s="151" t="s">
        <v>102</v>
      </c>
      <c r="B36" s="151"/>
      <c r="C36" s="108">
        <v>10256</v>
      </c>
      <c r="D36" s="108">
        <v>1600</v>
      </c>
      <c r="E36" s="108"/>
      <c r="F36" s="108"/>
      <c r="G36" s="109">
        <f t="shared" si="1"/>
        <v>11856</v>
      </c>
      <c r="K36" s="110"/>
    </row>
    <row r="37" spans="1:15" ht="15.75" customHeight="1" x14ac:dyDescent="0.3">
      <c r="A37" s="151" t="s">
        <v>103</v>
      </c>
      <c r="B37" s="151"/>
      <c r="C37" s="108">
        <v>0</v>
      </c>
      <c r="D37" s="108">
        <v>30000</v>
      </c>
      <c r="E37" s="108"/>
      <c r="F37" s="108">
        <v>-30000</v>
      </c>
      <c r="G37" s="109">
        <f t="shared" si="1"/>
        <v>0</v>
      </c>
      <c r="K37" s="110"/>
    </row>
    <row r="38" spans="1:15" ht="15.75" customHeight="1" x14ac:dyDescent="0.3">
      <c r="A38" s="151" t="s">
        <v>157</v>
      </c>
      <c r="B38" s="151"/>
      <c r="C38" s="108">
        <v>1304</v>
      </c>
      <c r="D38" s="108"/>
      <c r="E38" s="108"/>
      <c r="F38" s="108">
        <v>-1304</v>
      </c>
      <c r="G38" s="109">
        <f t="shared" si="1"/>
        <v>0</v>
      </c>
      <c r="K38" s="110"/>
    </row>
    <row r="39" spans="1:15" ht="15.75" customHeight="1" x14ac:dyDescent="0.3">
      <c r="A39" s="151" t="s">
        <v>104</v>
      </c>
      <c r="B39" s="151"/>
      <c r="C39" s="115">
        <v>3590</v>
      </c>
      <c r="D39" s="115"/>
      <c r="E39" s="115"/>
      <c r="F39" s="115">
        <v>-2500</v>
      </c>
      <c r="G39" s="116">
        <f t="shared" si="1"/>
        <v>1090</v>
      </c>
      <c r="K39" s="110"/>
    </row>
    <row r="40" spans="1:15" s="118" customFormat="1" ht="15.75" customHeight="1" x14ac:dyDescent="0.3">
      <c r="A40" s="152" t="s">
        <v>75</v>
      </c>
      <c r="B40" s="152"/>
      <c r="C40" s="117">
        <f>SUM(C5:C39)</f>
        <v>6196858</v>
      </c>
      <c r="D40" s="117">
        <f>SUM(D5:D39)</f>
        <v>929103</v>
      </c>
      <c r="E40" s="117">
        <f t="shared" ref="E40:F40" si="2">SUM(E5:E39)</f>
        <v>0</v>
      </c>
      <c r="F40" s="117">
        <f t="shared" si="2"/>
        <v>-809462</v>
      </c>
      <c r="G40" s="117">
        <f>SUM(G5:G39)+2</f>
        <v>6316501</v>
      </c>
      <c r="H40" s="119"/>
      <c r="I40" s="120"/>
      <c r="K40" s="110"/>
      <c r="O40" s="120"/>
    </row>
    <row r="41" spans="1:15" ht="13.35" customHeight="1" x14ac:dyDescent="0.3"/>
    <row r="42" spans="1:15" x14ac:dyDescent="0.3">
      <c r="F42" s="121"/>
      <c r="G42" s="110"/>
    </row>
    <row r="43" spans="1:15" x14ac:dyDescent="0.3">
      <c r="G43" s="110"/>
    </row>
    <row r="44" spans="1:15" x14ac:dyDescent="0.3">
      <c r="D44" s="110"/>
      <c r="E44" s="110"/>
      <c r="F44" s="110"/>
    </row>
    <row r="45" spans="1:15" x14ac:dyDescent="0.3">
      <c r="C45" s="110"/>
      <c r="D45" s="110"/>
      <c r="E45" s="110"/>
      <c r="F45" s="110"/>
    </row>
  </sheetData>
  <mergeCells count="31">
    <mergeCell ref="A40:B40"/>
    <mergeCell ref="A34:B34"/>
    <mergeCell ref="A35:B35"/>
    <mergeCell ref="A36:B36"/>
    <mergeCell ref="A37:B37"/>
    <mergeCell ref="A38:B38"/>
    <mergeCell ref="A39:B39"/>
    <mergeCell ref="A33:B33"/>
    <mergeCell ref="A18:B18"/>
    <mergeCell ref="A19:B19"/>
    <mergeCell ref="A20:B20"/>
    <mergeCell ref="A21:B21"/>
    <mergeCell ref="A22:B22"/>
    <mergeCell ref="A23:B23"/>
    <mergeCell ref="A24:B24"/>
    <mergeCell ref="A29:B29"/>
    <mergeCell ref="A30:B30"/>
    <mergeCell ref="A31:B31"/>
    <mergeCell ref="A32:B32"/>
    <mergeCell ref="A16:B16"/>
    <mergeCell ref="A1:G1"/>
    <mergeCell ref="A2:G2"/>
    <mergeCell ref="A3:G3"/>
    <mergeCell ref="A4:B4"/>
    <mergeCell ref="A5:B5"/>
    <mergeCell ref="A6:B6"/>
    <mergeCell ref="A10:B10"/>
    <mergeCell ref="A11:B11"/>
    <mergeCell ref="A12:B12"/>
    <mergeCell ref="A13:B13"/>
    <mergeCell ref="A15:B15"/>
  </mergeCells>
  <pageMargins left="0.25" right="0.25" top="0.25" bottom="0.25" header="0.5" footer="0.5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8FC5-4006-4601-BDF4-13A0F687642C}">
  <dimension ref="A1:O62"/>
  <sheetViews>
    <sheetView zoomScaleNormal="100" workbookViewId="0">
      <selection activeCell="M24" sqref="M24"/>
    </sheetView>
  </sheetViews>
  <sheetFormatPr defaultRowHeight="16.5" x14ac:dyDescent="0.3"/>
  <cols>
    <col min="1" max="1" width="22.140625" style="1" customWidth="1"/>
    <col min="2" max="2" width="35.85546875" style="1" customWidth="1"/>
    <col min="3" max="3" width="14.7109375" style="1" customWidth="1"/>
    <col min="4" max="4" width="17.85546875" style="1" customWidth="1"/>
    <col min="5" max="5" width="14.85546875" style="1" customWidth="1"/>
    <col min="6" max="6" width="2.85546875" style="1" customWidth="1"/>
    <col min="7" max="7" width="14.7109375" style="1" customWidth="1"/>
    <col min="8" max="8" width="15" style="1" customWidth="1"/>
    <col min="9" max="9" width="19.5703125" style="23" customWidth="1"/>
    <col min="10" max="10" width="12.7109375" style="1" bestFit="1" customWidth="1"/>
    <col min="11" max="11" width="10.5703125" style="1" bestFit="1" customWidth="1"/>
    <col min="12" max="13" width="9.140625" style="1"/>
    <col min="14" max="14" width="7.28515625" style="1" customWidth="1"/>
    <col min="15" max="15" width="9.140625" style="1" hidden="1" customWidth="1"/>
    <col min="16" max="16384" width="9.140625" style="1"/>
  </cols>
  <sheetData>
    <row r="1" spans="1:9" ht="19.899999999999999" customHeight="1" x14ac:dyDescent="0.3">
      <c r="A1" s="141" t="s">
        <v>0</v>
      </c>
      <c r="B1" s="141"/>
      <c r="C1" s="141"/>
      <c r="D1" s="141"/>
      <c r="E1" s="141"/>
      <c r="F1" s="10"/>
      <c r="G1" s="10"/>
      <c r="H1" s="10"/>
    </row>
    <row r="2" spans="1:9" ht="19.899999999999999" customHeight="1" x14ac:dyDescent="0.3">
      <c r="A2" s="141" t="s">
        <v>79</v>
      </c>
      <c r="B2" s="141"/>
      <c r="C2" s="141"/>
      <c r="D2" s="141"/>
      <c r="E2" s="141"/>
      <c r="F2" s="10"/>
      <c r="G2" s="10"/>
      <c r="H2" s="10"/>
    </row>
    <row r="3" spans="1:9" ht="16.899999999999999" customHeight="1" x14ac:dyDescent="0.3">
      <c r="A3" s="141" t="s">
        <v>166</v>
      </c>
      <c r="B3" s="141"/>
      <c r="C3" s="141"/>
      <c r="D3" s="141"/>
      <c r="E3" s="141"/>
      <c r="F3" s="10"/>
      <c r="G3" s="10"/>
      <c r="H3" s="10"/>
      <c r="I3" s="48"/>
    </row>
    <row r="4" spans="1:9" ht="15.75" customHeight="1" x14ac:dyDescent="0.3">
      <c r="A4" s="142"/>
      <c r="B4" s="142"/>
      <c r="C4" s="142"/>
      <c r="D4" s="142"/>
      <c r="E4" s="142"/>
      <c r="F4" s="69"/>
      <c r="G4" s="69"/>
      <c r="H4" s="69"/>
    </row>
    <row r="5" spans="1:9" ht="57.75" customHeight="1" x14ac:dyDescent="0.3">
      <c r="A5" s="143"/>
      <c r="B5" s="143"/>
      <c r="C5" s="25" t="s">
        <v>180</v>
      </c>
      <c r="D5" s="25" t="s">
        <v>190</v>
      </c>
      <c r="E5" s="25" t="s">
        <v>137</v>
      </c>
      <c r="F5" s="138"/>
      <c r="G5" s="137" t="s">
        <v>172</v>
      </c>
      <c r="H5" s="48"/>
      <c r="I5" s="1"/>
    </row>
    <row r="6" spans="1:9" ht="15.75" customHeight="1" x14ac:dyDescent="0.3">
      <c r="A6" s="144" t="s">
        <v>39</v>
      </c>
      <c r="B6" s="144"/>
      <c r="H6" s="23"/>
      <c r="I6" s="1"/>
    </row>
    <row r="7" spans="1:9" ht="15.75" customHeight="1" x14ac:dyDescent="0.3">
      <c r="A7" s="144" t="s">
        <v>78</v>
      </c>
      <c r="B7" s="144"/>
      <c r="C7" s="5">
        <v>793595.97</v>
      </c>
      <c r="D7" s="5">
        <v>843943</v>
      </c>
      <c r="E7" s="5">
        <f>C7-D7</f>
        <v>-50347.030000000028</v>
      </c>
      <c r="F7" s="5"/>
      <c r="G7" s="5">
        <v>1307004</v>
      </c>
      <c r="H7" s="48" t="s">
        <v>167</v>
      </c>
      <c r="I7" s="1"/>
    </row>
    <row r="8" spans="1:9" ht="15.75" customHeight="1" x14ac:dyDescent="0.3">
      <c r="A8" s="144" t="s">
        <v>77</v>
      </c>
      <c r="B8" s="144"/>
      <c r="C8" s="5">
        <v>12211.4</v>
      </c>
      <c r="D8" s="5">
        <v>7013</v>
      </c>
      <c r="E8" s="5">
        <f t="shared" ref="E8:E11" si="0">C8-D8</f>
        <v>5198.3999999999996</v>
      </c>
      <c r="F8" s="5"/>
      <c r="G8" s="5">
        <v>11153</v>
      </c>
      <c r="H8" s="48"/>
      <c r="I8" s="1"/>
    </row>
    <row r="9" spans="1:9" ht="15.75" customHeight="1" x14ac:dyDescent="0.3">
      <c r="A9" s="144" t="s">
        <v>76</v>
      </c>
      <c r="B9" s="144"/>
      <c r="C9" s="5">
        <f>474251.98+5000</f>
        <v>479251.98</v>
      </c>
      <c r="D9" s="5">
        <v>578203.74</v>
      </c>
      <c r="E9" s="5">
        <f t="shared" si="0"/>
        <v>-98951.760000000009</v>
      </c>
      <c r="F9" s="5"/>
      <c r="G9" s="5">
        <v>1818409</v>
      </c>
      <c r="H9" s="48" t="s">
        <v>173</v>
      </c>
      <c r="I9" s="1"/>
    </row>
    <row r="10" spans="1:9" ht="15.75" customHeight="1" x14ac:dyDescent="0.3">
      <c r="A10" s="144" t="s">
        <v>141</v>
      </c>
      <c r="B10" s="144"/>
      <c r="C10" s="5">
        <v>167632.81</v>
      </c>
      <c r="D10" s="5">
        <f>126094.5+3000</f>
        <v>129094.5</v>
      </c>
      <c r="E10" s="5">
        <f t="shared" si="0"/>
        <v>38538.31</v>
      </c>
      <c r="F10" s="5"/>
      <c r="G10" s="5">
        <f>293526+14908</f>
        <v>308434</v>
      </c>
      <c r="H10" s="48"/>
      <c r="I10" s="1"/>
    </row>
    <row r="11" spans="1:9" ht="15.75" customHeight="1" x14ac:dyDescent="0.3">
      <c r="A11" s="145" t="s">
        <v>136</v>
      </c>
      <c r="B11" s="145"/>
      <c r="C11" s="74">
        <v>37286.650000000023</v>
      </c>
      <c r="D11" s="5">
        <v>39999.980000000003</v>
      </c>
      <c r="E11" s="5">
        <f t="shared" si="0"/>
        <v>-2713.3299999999799</v>
      </c>
      <c r="F11" s="5"/>
      <c r="G11" s="5">
        <v>80000</v>
      </c>
      <c r="H11" s="48"/>
      <c r="I11" s="1"/>
    </row>
    <row r="12" spans="1:9" ht="15.75" customHeight="1" x14ac:dyDescent="0.3">
      <c r="A12" s="144" t="s">
        <v>75</v>
      </c>
      <c r="B12" s="144"/>
      <c r="C12" s="8">
        <f>SUM(C7:C11)</f>
        <v>1489978.81</v>
      </c>
      <c r="D12" s="8">
        <f t="shared" ref="D12" si="1">SUM(D7:D11)</f>
        <v>1598254.22</v>
      </c>
      <c r="E12" s="8">
        <f>SUM(E7:E11)</f>
        <v>-108275.41000000003</v>
      </c>
      <c r="F12" s="9"/>
      <c r="G12" s="44">
        <f>SUM(G7:G11)</f>
        <v>3525000</v>
      </c>
      <c r="H12" s="48"/>
      <c r="I12" s="45"/>
    </row>
    <row r="13" spans="1:9" ht="15.75" customHeight="1" x14ac:dyDescent="0.3">
      <c r="C13" s="7"/>
      <c r="D13" s="7"/>
      <c r="E13" s="7"/>
      <c r="F13" s="7"/>
      <c r="G13" s="7"/>
      <c r="H13" s="23"/>
      <c r="I13" s="1"/>
    </row>
    <row r="14" spans="1:9" ht="15.75" customHeight="1" x14ac:dyDescent="0.3">
      <c r="A14" s="144" t="s">
        <v>32</v>
      </c>
      <c r="B14" s="144"/>
      <c r="C14" s="7"/>
      <c r="D14" s="7"/>
      <c r="E14" s="7"/>
      <c r="F14" s="7"/>
      <c r="G14" s="7"/>
      <c r="H14" s="23"/>
      <c r="I14" s="1"/>
    </row>
    <row r="15" spans="1:9" ht="15.75" customHeight="1" x14ac:dyDescent="0.3">
      <c r="A15" s="144" t="s">
        <v>131</v>
      </c>
      <c r="B15" s="144"/>
      <c r="C15" s="73">
        <v>862695.08</v>
      </c>
      <c r="D15" s="73">
        <v>1033556.28</v>
      </c>
      <c r="E15" s="5">
        <f>C15-D15</f>
        <v>-170861.20000000007</v>
      </c>
      <c r="F15" s="5"/>
      <c r="G15" s="5">
        <v>2067182</v>
      </c>
      <c r="H15" s="23" t="s">
        <v>127</v>
      </c>
      <c r="I15" s="1"/>
    </row>
    <row r="16" spans="1:9" ht="15.75" customHeight="1" x14ac:dyDescent="0.3">
      <c r="A16" s="144" t="s">
        <v>62</v>
      </c>
      <c r="B16" s="144"/>
      <c r="C16" s="73">
        <v>170357.3</v>
      </c>
      <c r="D16" s="73">
        <v>96786</v>
      </c>
      <c r="E16" s="5">
        <f t="shared" ref="E16:E44" si="2">C16-D16</f>
        <v>73571.299999999988</v>
      </c>
      <c r="F16" s="5"/>
      <c r="G16" s="5">
        <v>287708</v>
      </c>
      <c r="H16" s="23" t="s">
        <v>153</v>
      </c>
      <c r="I16" s="1"/>
    </row>
    <row r="17" spans="1:9" ht="15.75" customHeight="1" x14ac:dyDescent="0.3">
      <c r="A17" s="144" t="s">
        <v>61</v>
      </c>
      <c r="B17" s="144"/>
      <c r="C17" s="73">
        <v>59453.62</v>
      </c>
      <c r="D17" s="73">
        <v>48825</v>
      </c>
      <c r="E17" s="5">
        <f t="shared" si="2"/>
        <v>10628.620000000003</v>
      </c>
      <c r="F17" s="5"/>
      <c r="G17" s="5">
        <v>94872</v>
      </c>
      <c r="H17" s="23" t="s">
        <v>168</v>
      </c>
      <c r="I17" s="1"/>
    </row>
    <row r="18" spans="1:9" ht="15.75" customHeight="1" x14ac:dyDescent="0.3">
      <c r="A18" s="144" t="s">
        <v>60</v>
      </c>
      <c r="B18" s="144"/>
      <c r="C18" s="73">
        <v>37223.57</v>
      </c>
      <c r="D18" s="73">
        <v>0</v>
      </c>
      <c r="E18" s="74">
        <f t="shared" si="2"/>
        <v>37223.57</v>
      </c>
      <c r="F18" s="74"/>
      <c r="G18" s="5">
        <v>120876</v>
      </c>
      <c r="H18" s="23" t="s">
        <v>174</v>
      </c>
      <c r="I18" s="1"/>
    </row>
    <row r="19" spans="1:9" ht="15.75" customHeight="1" x14ac:dyDescent="0.3">
      <c r="A19" s="144" t="s">
        <v>59</v>
      </c>
      <c r="B19" s="144"/>
      <c r="C19" s="73">
        <v>177011.12</v>
      </c>
      <c r="D19" s="73">
        <v>187534</v>
      </c>
      <c r="E19" s="5">
        <f t="shared" si="2"/>
        <v>-10522.880000000005</v>
      </c>
      <c r="F19" s="5"/>
      <c r="G19" s="5">
        <v>212534</v>
      </c>
      <c r="H19" s="23"/>
      <c r="I19" s="1"/>
    </row>
    <row r="20" spans="1:9" ht="15.75" customHeight="1" x14ac:dyDescent="0.3">
      <c r="A20" s="3" t="s">
        <v>151</v>
      </c>
      <c r="B20" s="3"/>
      <c r="C20" s="73">
        <v>29500</v>
      </c>
      <c r="D20" s="73">
        <v>14000</v>
      </c>
      <c r="E20" s="5">
        <f t="shared" si="2"/>
        <v>15500</v>
      </c>
      <c r="F20" s="5"/>
      <c r="G20" s="5">
        <v>14000</v>
      </c>
      <c r="H20" s="23" t="s">
        <v>175</v>
      </c>
      <c r="I20" s="1"/>
    </row>
    <row r="21" spans="1:9" ht="15.75" customHeight="1" x14ac:dyDescent="0.3">
      <c r="A21" s="144" t="s">
        <v>58</v>
      </c>
      <c r="B21" s="144"/>
      <c r="C21" s="73">
        <v>10969.49</v>
      </c>
      <c r="D21" s="73">
        <v>12219</v>
      </c>
      <c r="E21" s="5">
        <f t="shared" si="2"/>
        <v>-1249.5100000000002</v>
      </c>
      <c r="F21" s="5"/>
      <c r="G21" s="5">
        <v>80288.5</v>
      </c>
      <c r="H21" s="23"/>
      <c r="I21" s="1"/>
    </row>
    <row r="22" spans="1:9" ht="15.75" customHeight="1" x14ac:dyDescent="0.3">
      <c r="A22" s="144" t="s">
        <v>57</v>
      </c>
      <c r="B22" s="144"/>
      <c r="C22" s="73">
        <v>113588.38</v>
      </c>
      <c r="D22" s="73">
        <v>114415.4</v>
      </c>
      <c r="E22" s="5">
        <f t="shared" si="2"/>
        <v>-827.01999999998952</v>
      </c>
      <c r="F22" s="5"/>
      <c r="G22" s="5">
        <v>341335</v>
      </c>
      <c r="H22" s="23"/>
      <c r="I22" s="1"/>
    </row>
    <row r="23" spans="1:9" ht="15.75" customHeight="1" x14ac:dyDescent="0.3">
      <c r="A23" s="144" t="s">
        <v>56</v>
      </c>
      <c r="B23" s="144"/>
      <c r="C23" s="73">
        <v>9748.5499999999993</v>
      </c>
      <c r="D23" s="73">
        <v>16830</v>
      </c>
      <c r="E23" s="5">
        <f t="shared" si="2"/>
        <v>-7081.4500000000007</v>
      </c>
      <c r="F23" s="5"/>
      <c r="G23" s="5">
        <v>27990</v>
      </c>
      <c r="H23" s="23"/>
      <c r="I23" s="1"/>
    </row>
    <row r="24" spans="1:9" ht="15.75" customHeight="1" x14ac:dyDescent="0.3">
      <c r="A24" s="144" t="s">
        <v>74</v>
      </c>
      <c r="B24" s="144"/>
      <c r="C24" s="73">
        <v>0</v>
      </c>
      <c r="D24" s="73">
        <v>1585</v>
      </c>
      <c r="E24" s="5">
        <f t="shared" si="2"/>
        <v>-1585</v>
      </c>
      <c r="F24" s="5"/>
      <c r="G24" s="5">
        <v>2085</v>
      </c>
      <c r="H24" s="23"/>
      <c r="I24" s="1"/>
    </row>
    <row r="25" spans="1:9" ht="15.75" customHeight="1" x14ac:dyDescent="0.3">
      <c r="A25" s="144" t="s">
        <v>55</v>
      </c>
      <c r="B25" s="144"/>
      <c r="C25" s="73">
        <v>25.44</v>
      </c>
      <c r="D25" s="73">
        <v>12999.98</v>
      </c>
      <c r="E25" s="5">
        <f t="shared" si="2"/>
        <v>-12974.539999999999</v>
      </c>
      <c r="F25" s="5"/>
      <c r="G25" s="5">
        <v>23000</v>
      </c>
      <c r="H25" s="23"/>
      <c r="I25" s="1"/>
    </row>
    <row r="26" spans="1:9" ht="15.75" customHeight="1" x14ac:dyDescent="0.3">
      <c r="A26" s="144" t="s">
        <v>54</v>
      </c>
      <c r="B26" s="144"/>
      <c r="C26" s="73">
        <v>156.49</v>
      </c>
      <c r="D26" s="73">
        <v>100</v>
      </c>
      <c r="E26" s="5">
        <f t="shared" si="2"/>
        <v>56.490000000000009</v>
      </c>
      <c r="F26" s="5"/>
      <c r="G26" s="5">
        <v>1700</v>
      </c>
      <c r="H26" s="23"/>
      <c r="I26" s="1"/>
    </row>
    <row r="27" spans="1:9" ht="15.75" customHeight="1" x14ac:dyDescent="0.3">
      <c r="A27" s="144" t="s">
        <v>53</v>
      </c>
      <c r="B27" s="144"/>
      <c r="C27" s="73">
        <v>213.02</v>
      </c>
      <c r="D27" s="73">
        <v>3525</v>
      </c>
      <c r="E27" s="5">
        <f t="shared" si="2"/>
        <v>-3311.98</v>
      </c>
      <c r="F27" s="5"/>
      <c r="G27" s="5">
        <v>7050</v>
      </c>
      <c r="H27" s="23"/>
      <c r="I27" s="1"/>
    </row>
    <row r="28" spans="1:9" ht="15.75" customHeight="1" x14ac:dyDescent="0.3">
      <c r="A28" s="144" t="s">
        <v>73</v>
      </c>
      <c r="B28" s="144"/>
      <c r="C28" s="73">
        <v>5053.99</v>
      </c>
      <c r="D28" s="73">
        <v>1373</v>
      </c>
      <c r="E28" s="5">
        <f t="shared" si="2"/>
        <v>3680.99</v>
      </c>
      <c r="F28" s="5"/>
      <c r="G28" s="5">
        <v>6218</v>
      </c>
      <c r="H28" s="23"/>
      <c r="I28" s="1"/>
    </row>
    <row r="29" spans="1:9" ht="15.75" customHeight="1" x14ac:dyDescent="0.3">
      <c r="A29" s="3" t="s">
        <v>117</v>
      </c>
      <c r="B29" s="3"/>
      <c r="C29" s="73">
        <v>428.97</v>
      </c>
      <c r="D29" s="73">
        <v>7489</v>
      </c>
      <c r="E29" s="5">
        <f t="shared" si="2"/>
        <v>-7060.03</v>
      </c>
      <c r="F29" s="5"/>
      <c r="G29" s="5">
        <v>12539</v>
      </c>
      <c r="H29" s="23"/>
      <c r="I29" s="1"/>
    </row>
    <row r="30" spans="1:9" ht="15.75" customHeight="1" x14ac:dyDescent="0.3">
      <c r="A30" s="144" t="s">
        <v>52</v>
      </c>
      <c r="B30" s="144"/>
      <c r="C30" s="73">
        <v>3641.33</v>
      </c>
      <c r="D30" s="73">
        <v>6951</v>
      </c>
      <c r="E30" s="5">
        <f t="shared" si="2"/>
        <v>-3309.67</v>
      </c>
      <c r="F30" s="5"/>
      <c r="G30" s="5">
        <v>17251</v>
      </c>
      <c r="H30" s="23"/>
      <c r="I30" s="1"/>
    </row>
    <row r="31" spans="1:9" ht="15.75" customHeight="1" x14ac:dyDescent="0.3">
      <c r="A31" s="144" t="s">
        <v>51</v>
      </c>
      <c r="B31" s="144"/>
      <c r="C31" s="73">
        <v>6811.71</v>
      </c>
      <c r="D31" s="73">
        <v>6574.98</v>
      </c>
      <c r="E31" s="5">
        <f t="shared" si="2"/>
        <v>236.73000000000047</v>
      </c>
      <c r="F31" s="5"/>
      <c r="G31" s="5">
        <v>13150</v>
      </c>
      <c r="H31" s="23"/>
      <c r="I31" s="1"/>
    </row>
    <row r="32" spans="1:9" ht="15.75" customHeight="1" x14ac:dyDescent="0.3">
      <c r="A32" s="144" t="s">
        <v>50</v>
      </c>
      <c r="B32" s="144"/>
      <c r="C32" s="73">
        <v>9938.67</v>
      </c>
      <c r="D32" s="73">
        <v>10524.98</v>
      </c>
      <c r="E32" s="5">
        <f t="shared" si="2"/>
        <v>-586.30999999999949</v>
      </c>
      <c r="F32" s="5"/>
      <c r="G32" s="5">
        <v>21050</v>
      </c>
      <c r="H32" s="23"/>
      <c r="I32" s="1"/>
    </row>
    <row r="33" spans="1:13" ht="15.75" customHeight="1" x14ac:dyDescent="0.3">
      <c r="A33" s="144" t="s">
        <v>49</v>
      </c>
      <c r="B33" s="144"/>
      <c r="C33" s="73"/>
      <c r="D33" s="73"/>
      <c r="E33" s="5">
        <f t="shared" si="2"/>
        <v>0</v>
      </c>
      <c r="F33" s="5"/>
      <c r="G33" s="5"/>
      <c r="H33" s="23"/>
      <c r="I33" s="1"/>
    </row>
    <row r="34" spans="1:13" ht="15.75" customHeight="1" x14ac:dyDescent="0.3">
      <c r="A34" s="144" t="s">
        <v>48</v>
      </c>
      <c r="B34" s="144"/>
      <c r="C34" s="73">
        <v>14557.05</v>
      </c>
      <c r="D34" s="73">
        <v>18636.48</v>
      </c>
      <c r="E34" s="5">
        <f t="shared" si="2"/>
        <v>-4079.4300000000003</v>
      </c>
      <c r="F34" s="5"/>
      <c r="G34" s="5">
        <v>37273</v>
      </c>
      <c r="H34" s="23"/>
      <c r="I34" s="1"/>
    </row>
    <row r="35" spans="1:13" ht="15.75" customHeight="1" x14ac:dyDescent="0.3">
      <c r="A35" s="144" t="s">
        <v>47</v>
      </c>
      <c r="B35" s="144"/>
      <c r="C35" s="73">
        <v>24452.76</v>
      </c>
      <c r="D35" s="73">
        <v>24122.98</v>
      </c>
      <c r="E35" s="5">
        <f t="shared" si="2"/>
        <v>329.77999999999884</v>
      </c>
      <c r="F35" s="5"/>
      <c r="G35" s="5">
        <v>71949</v>
      </c>
      <c r="H35" s="23"/>
      <c r="I35" s="1"/>
      <c r="M35" s="45"/>
    </row>
    <row r="36" spans="1:13" ht="15.75" customHeight="1" x14ac:dyDescent="0.3">
      <c r="A36" s="144" t="s">
        <v>46</v>
      </c>
      <c r="B36" s="144"/>
      <c r="C36" s="73">
        <v>1646.22</v>
      </c>
      <c r="D36" s="73">
        <v>2372.96</v>
      </c>
      <c r="E36" s="5">
        <f t="shared" si="2"/>
        <v>-726.74</v>
      </c>
      <c r="F36" s="5"/>
      <c r="G36" s="5">
        <v>11593</v>
      </c>
      <c r="H36" s="23"/>
      <c r="I36" s="1"/>
    </row>
    <row r="37" spans="1:13" ht="15.75" customHeight="1" x14ac:dyDescent="0.3">
      <c r="A37" s="144" t="s">
        <v>45</v>
      </c>
      <c r="B37" s="144"/>
      <c r="C37" s="73">
        <v>46321.45</v>
      </c>
      <c r="D37" s="73">
        <v>50167</v>
      </c>
      <c r="E37" s="5">
        <f t="shared" si="2"/>
        <v>-3845.5500000000029</v>
      </c>
      <c r="F37" s="5"/>
      <c r="G37" s="5">
        <v>50444</v>
      </c>
      <c r="H37" s="23"/>
      <c r="I37" s="1"/>
    </row>
    <row r="38" spans="1:13" ht="15.75" customHeight="1" x14ac:dyDescent="0.3">
      <c r="A38" s="144" t="s">
        <v>134</v>
      </c>
      <c r="B38" s="144"/>
      <c r="C38" s="73">
        <v>0</v>
      </c>
      <c r="D38" s="73">
        <v>0</v>
      </c>
      <c r="E38" s="5">
        <f t="shared" si="2"/>
        <v>0</v>
      </c>
      <c r="F38" s="5"/>
      <c r="G38" s="5">
        <v>429</v>
      </c>
      <c r="H38" s="23"/>
      <c r="I38" s="1"/>
    </row>
    <row r="39" spans="1:13" ht="15.75" customHeight="1" x14ac:dyDescent="0.3">
      <c r="A39" s="144" t="s">
        <v>44</v>
      </c>
      <c r="B39" s="144"/>
      <c r="C39" s="73">
        <v>9458.94</v>
      </c>
      <c r="D39" s="73">
        <v>11250</v>
      </c>
      <c r="E39" s="5">
        <f t="shared" si="2"/>
        <v>-1791.0599999999995</v>
      </c>
      <c r="F39" s="5"/>
      <c r="G39" s="5">
        <v>22500</v>
      </c>
      <c r="H39" s="23"/>
      <c r="I39" s="1"/>
    </row>
    <row r="40" spans="1:13" ht="15.75" customHeight="1" x14ac:dyDescent="0.3">
      <c r="A40" s="144" t="s">
        <v>43</v>
      </c>
      <c r="B40" s="144"/>
      <c r="C40" s="73">
        <v>2823.21</v>
      </c>
      <c r="D40" s="73">
        <v>3220.5</v>
      </c>
      <c r="E40" s="5">
        <f t="shared" si="2"/>
        <v>-397.28999999999996</v>
      </c>
      <c r="F40" s="5"/>
      <c r="G40" s="5">
        <v>4999</v>
      </c>
      <c r="H40" s="23"/>
      <c r="I40" s="1"/>
    </row>
    <row r="41" spans="1:13" ht="15.75" customHeight="1" x14ac:dyDescent="0.3">
      <c r="A41" s="144" t="s">
        <v>42</v>
      </c>
      <c r="B41" s="144"/>
      <c r="C41" s="73">
        <v>15369.57</v>
      </c>
      <c r="D41" s="73">
        <v>15468.87</v>
      </c>
      <c r="E41" s="5">
        <f t="shared" si="2"/>
        <v>-99.300000000001091</v>
      </c>
      <c r="F41" s="5"/>
      <c r="G41" s="5">
        <v>41486.5</v>
      </c>
      <c r="H41" s="23"/>
      <c r="I41" s="1"/>
    </row>
    <row r="42" spans="1:13" ht="15.75" customHeight="1" x14ac:dyDescent="0.3">
      <c r="A42" s="144" t="s">
        <v>72</v>
      </c>
      <c r="B42" s="144"/>
      <c r="C42" s="73">
        <v>2099.66</v>
      </c>
      <c r="D42" s="73">
        <v>2236</v>
      </c>
      <c r="E42" s="5">
        <f t="shared" si="2"/>
        <v>-136.34000000000015</v>
      </c>
      <c r="F42" s="5"/>
      <c r="G42" s="5">
        <v>5236</v>
      </c>
      <c r="H42" s="23"/>
      <c r="I42" s="1"/>
    </row>
    <row r="43" spans="1:13" ht="15.75" customHeight="1" x14ac:dyDescent="0.3">
      <c r="A43" s="3" t="s">
        <v>129</v>
      </c>
      <c r="B43" s="3"/>
      <c r="C43" s="73">
        <v>500</v>
      </c>
      <c r="D43" s="73">
        <v>0</v>
      </c>
      <c r="E43" s="5">
        <f t="shared" si="2"/>
        <v>500</v>
      </c>
      <c r="F43" s="5"/>
      <c r="G43" s="5">
        <v>750</v>
      </c>
      <c r="H43" s="23"/>
      <c r="I43" s="1"/>
    </row>
    <row r="44" spans="1:13" ht="15.75" customHeight="1" x14ac:dyDescent="0.3">
      <c r="A44" s="3" t="s">
        <v>120</v>
      </c>
      <c r="B44" s="3"/>
      <c r="C44" s="73">
        <v>48926.62</v>
      </c>
      <c r="D44" s="73">
        <v>51256</v>
      </c>
      <c r="E44" s="5">
        <f t="shared" si="2"/>
        <v>-2329.3799999999974</v>
      </c>
      <c r="F44" s="5"/>
      <c r="G44" s="5">
        <v>102512</v>
      </c>
      <c r="H44" s="23"/>
      <c r="I44" s="1"/>
      <c r="J44" s="45"/>
    </row>
    <row r="45" spans="1:13" ht="15.75" customHeight="1" x14ac:dyDescent="0.3">
      <c r="A45" s="144" t="s">
        <v>22</v>
      </c>
      <c r="B45" s="144"/>
      <c r="C45" s="44">
        <f>SUM(C15:C44)</f>
        <v>1662972.21</v>
      </c>
      <c r="D45" s="8">
        <f>SUM(D15:D44)</f>
        <v>1754019.41</v>
      </c>
      <c r="E45" s="8">
        <f>SUM(E15:E44)</f>
        <v>-91047.20000000007</v>
      </c>
      <c r="F45" s="9"/>
      <c r="G45" s="44">
        <f>SUM(G15:G44)</f>
        <v>3700000</v>
      </c>
      <c r="H45" s="48"/>
      <c r="I45" s="45"/>
    </row>
    <row r="46" spans="1:13" ht="15.75" customHeight="1" x14ac:dyDescent="0.3">
      <c r="C46" s="7"/>
      <c r="D46" s="7"/>
      <c r="E46" s="7"/>
      <c r="F46" s="7"/>
      <c r="G46" s="7"/>
      <c r="H46" s="23"/>
      <c r="I46" s="45"/>
    </row>
    <row r="47" spans="1:13" ht="15.75" customHeight="1" thickBot="1" x14ac:dyDescent="0.35">
      <c r="A47" s="141" t="s">
        <v>133</v>
      </c>
      <c r="B47" s="141"/>
      <c r="C47" s="17">
        <f>C12-C45</f>
        <v>-172993.39999999991</v>
      </c>
      <c r="D47" s="17">
        <f>D12-D45</f>
        <v>-155765.18999999994</v>
      </c>
      <c r="E47" s="17">
        <f>C47-D47</f>
        <v>-17228.209999999963</v>
      </c>
      <c r="F47" s="70"/>
      <c r="G47" s="139">
        <f>G12-G45</f>
        <v>-175000</v>
      </c>
      <c r="H47" s="23"/>
      <c r="I47" s="45"/>
    </row>
    <row r="48" spans="1:13" ht="15.75" customHeight="1" thickTop="1" x14ac:dyDescent="0.3"/>
    <row r="49" spans="1:9" ht="17.25" thickBot="1" x14ac:dyDescent="0.35"/>
    <row r="50" spans="1:9" s="22" customFormat="1" ht="15" x14ac:dyDescent="0.25">
      <c r="A50" s="61" t="s">
        <v>128</v>
      </c>
      <c r="B50" s="62"/>
      <c r="C50" s="63"/>
      <c r="D50" s="63"/>
      <c r="E50" s="62"/>
      <c r="F50" s="62"/>
      <c r="G50" s="62"/>
      <c r="H50" s="62"/>
      <c r="I50" s="64"/>
    </row>
    <row r="51" spans="1:9" s="22" customFormat="1" ht="15" x14ac:dyDescent="0.25">
      <c r="A51" s="65"/>
      <c r="C51" s="128"/>
      <c r="D51" s="128"/>
      <c r="I51" s="87"/>
    </row>
    <row r="52" spans="1:9" x14ac:dyDescent="0.3">
      <c r="A52" s="67"/>
      <c r="C52" s="68"/>
      <c r="D52" s="23"/>
      <c r="I52" s="66"/>
    </row>
    <row r="53" spans="1:9" x14ac:dyDescent="0.3">
      <c r="A53" s="67" t="s">
        <v>143</v>
      </c>
      <c r="C53" s="68">
        <f>'Stmt Activities'!D30</f>
        <v>436097</v>
      </c>
      <c r="D53" s="23"/>
      <c r="I53" s="66"/>
    </row>
    <row r="54" spans="1:9" x14ac:dyDescent="0.3">
      <c r="A54" s="67"/>
      <c r="C54" s="45"/>
      <c r="I54" s="66"/>
    </row>
    <row r="55" spans="1:9" ht="17.25" thickBot="1" x14ac:dyDescent="0.35">
      <c r="A55" s="67"/>
      <c r="I55" s="66"/>
    </row>
    <row r="56" spans="1:9" x14ac:dyDescent="0.3">
      <c r="A56" s="67"/>
      <c r="C56" s="122">
        <f>C12+C53</f>
        <v>1926075.81</v>
      </c>
      <c r="D56" s="125" t="s">
        <v>130</v>
      </c>
      <c r="I56" s="66"/>
    </row>
    <row r="57" spans="1:9" x14ac:dyDescent="0.3">
      <c r="A57" s="67"/>
      <c r="C57" s="140">
        <f>C45</f>
        <v>1662972.21</v>
      </c>
      <c r="D57" s="126" t="s">
        <v>22</v>
      </c>
      <c r="I57" s="66"/>
    </row>
    <row r="58" spans="1:9" s="22" customFormat="1" ht="17.25" thickBot="1" x14ac:dyDescent="0.35">
      <c r="A58" s="129"/>
      <c r="B58" s="130"/>
      <c r="C58" s="123">
        <f>C56-C57-1</f>
        <v>263102.60000000009</v>
      </c>
      <c r="D58" s="127"/>
      <c r="E58" s="130"/>
      <c r="F58" s="130"/>
      <c r="G58" s="130"/>
      <c r="H58" s="130"/>
      <c r="I58" s="131"/>
    </row>
    <row r="61" spans="1:9" x14ac:dyDescent="0.3">
      <c r="C61" s="45"/>
    </row>
    <row r="62" spans="1:9" x14ac:dyDescent="0.3">
      <c r="C62" s="45"/>
    </row>
  </sheetData>
  <mergeCells count="41">
    <mergeCell ref="A12:B12"/>
    <mergeCell ref="A14:B14"/>
    <mergeCell ref="A15:B15"/>
    <mergeCell ref="A22:B22"/>
    <mergeCell ref="A34:B34"/>
    <mergeCell ref="A16:B16"/>
    <mergeCell ref="A17:B17"/>
    <mergeCell ref="A18:B18"/>
    <mergeCell ref="A19:B19"/>
    <mergeCell ref="A21:B21"/>
    <mergeCell ref="A23:B23"/>
    <mergeCell ref="A24:B24"/>
    <mergeCell ref="A25:B25"/>
    <mergeCell ref="A26:B26"/>
    <mergeCell ref="A27:B27"/>
    <mergeCell ref="A28:B28"/>
    <mergeCell ref="A11:B11"/>
    <mergeCell ref="A1:E1"/>
    <mergeCell ref="A2:E2"/>
    <mergeCell ref="A3:E3"/>
    <mergeCell ref="A4:E4"/>
    <mergeCell ref="A5:B5"/>
    <mergeCell ref="A6:B6"/>
    <mergeCell ref="A7:B7"/>
    <mergeCell ref="A8:B8"/>
    <mergeCell ref="A9:B9"/>
    <mergeCell ref="A10:B10"/>
    <mergeCell ref="A30:B30"/>
    <mergeCell ref="A41:B41"/>
    <mergeCell ref="A42:B42"/>
    <mergeCell ref="A45:B45"/>
    <mergeCell ref="A47:B47"/>
    <mergeCell ref="A31:B31"/>
    <mergeCell ref="A36:B36"/>
    <mergeCell ref="A38:B38"/>
    <mergeCell ref="A39:B39"/>
    <mergeCell ref="A40:B40"/>
    <mergeCell ref="A32:B32"/>
    <mergeCell ref="A33:B33"/>
    <mergeCell ref="A37:B37"/>
    <mergeCell ref="A35:B35"/>
  </mergeCells>
  <pageMargins left="0.1" right="0.1" top="0.25" bottom="0.25" header="0.5" footer="0.5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6F3E-108D-4E77-AA59-1109040B1193}">
  <dimension ref="A1:P48"/>
  <sheetViews>
    <sheetView tabSelected="1" zoomScaleNormal="100" workbookViewId="0">
      <selection activeCell="J15" sqref="J15"/>
    </sheetView>
  </sheetViews>
  <sheetFormatPr defaultRowHeight="16.5" x14ac:dyDescent="0.3"/>
  <cols>
    <col min="1" max="1" width="22.140625" style="1" customWidth="1"/>
    <col min="2" max="2" width="35.85546875" style="1" customWidth="1"/>
    <col min="3" max="3" width="14.7109375" style="1" customWidth="1"/>
    <col min="4" max="4" width="17.85546875" style="1" customWidth="1"/>
    <col min="5" max="5" width="14.85546875" style="1" customWidth="1"/>
    <col min="6" max="6" width="2.85546875" style="1" customWidth="1"/>
    <col min="7" max="8" width="14.7109375" style="1" customWidth="1"/>
    <col min="9" max="9" width="15" style="1" customWidth="1"/>
    <col min="10" max="10" width="19.5703125" style="23" customWidth="1"/>
    <col min="11" max="11" width="12.7109375" style="1" bestFit="1" customWidth="1"/>
    <col min="12" max="12" width="10.5703125" style="1" bestFit="1" customWidth="1"/>
    <col min="13" max="14" width="9.140625" style="1"/>
    <col min="15" max="15" width="7.28515625" style="1" customWidth="1"/>
    <col min="16" max="16" width="9.140625" style="1" hidden="1" customWidth="1"/>
    <col min="17" max="16384" width="9.140625" style="1"/>
  </cols>
  <sheetData>
    <row r="1" spans="1:10" ht="19.899999999999999" customHeight="1" x14ac:dyDescent="0.3">
      <c r="A1" s="141" t="s">
        <v>0</v>
      </c>
      <c r="B1" s="141"/>
      <c r="C1" s="141"/>
      <c r="D1" s="141"/>
      <c r="E1" s="141"/>
      <c r="F1" s="10"/>
      <c r="G1" s="10"/>
      <c r="H1" s="10"/>
      <c r="I1" s="10"/>
    </row>
    <row r="2" spans="1:10" ht="19.899999999999999" customHeight="1" x14ac:dyDescent="0.3">
      <c r="A2" s="141" t="s">
        <v>171</v>
      </c>
      <c r="B2" s="141"/>
      <c r="C2" s="141"/>
      <c r="D2" s="141"/>
      <c r="E2" s="141"/>
      <c r="F2" s="10"/>
      <c r="G2" s="10"/>
      <c r="H2" s="10"/>
      <c r="I2" s="10"/>
    </row>
    <row r="3" spans="1:10" ht="15.75" customHeight="1" x14ac:dyDescent="0.3">
      <c r="A3" s="142"/>
      <c r="B3" s="142"/>
      <c r="C3" s="142"/>
      <c r="D3" s="142"/>
      <c r="E3" s="142"/>
      <c r="F3" s="69"/>
      <c r="G3" s="69"/>
      <c r="H3" s="69"/>
      <c r="I3" s="69"/>
    </row>
    <row r="4" spans="1:10" ht="57.75" customHeight="1" x14ac:dyDescent="0.3">
      <c r="A4" s="143"/>
      <c r="B4" s="143"/>
      <c r="C4" s="25" t="s">
        <v>180</v>
      </c>
      <c r="D4" s="25" t="s">
        <v>181</v>
      </c>
      <c r="E4" s="25" t="s">
        <v>169</v>
      </c>
      <c r="F4" s="138"/>
      <c r="G4" s="137" t="s">
        <v>172</v>
      </c>
      <c r="H4" s="137" t="s">
        <v>137</v>
      </c>
      <c r="I4" s="48"/>
      <c r="J4" s="1"/>
    </row>
    <row r="5" spans="1:10" ht="15.75" customHeight="1" x14ac:dyDescent="0.3">
      <c r="A5" s="144" t="s">
        <v>39</v>
      </c>
      <c r="B5" s="144"/>
      <c r="I5" s="23"/>
      <c r="J5" s="1"/>
    </row>
    <row r="6" spans="1:10" ht="15.75" customHeight="1" x14ac:dyDescent="0.3">
      <c r="A6" s="144" t="s">
        <v>78</v>
      </c>
      <c r="B6" s="144"/>
      <c r="C6" s="5">
        <v>793595.97</v>
      </c>
      <c r="D6" s="5">
        <f>463061-25000</f>
        <v>438061</v>
      </c>
      <c r="E6" s="5">
        <f>C6+D6</f>
        <v>1231656.97</v>
      </c>
      <c r="F6" s="5"/>
      <c r="G6" s="5">
        <v>1307004</v>
      </c>
      <c r="H6" s="5">
        <f>E6-G6</f>
        <v>-75347.030000000028</v>
      </c>
      <c r="I6" s="48" t="s">
        <v>178</v>
      </c>
      <c r="J6" s="1"/>
    </row>
    <row r="7" spans="1:10" ht="15.75" customHeight="1" x14ac:dyDescent="0.3">
      <c r="A7" s="144" t="s">
        <v>77</v>
      </c>
      <c r="B7" s="144"/>
      <c r="C7" s="5">
        <v>12211.4</v>
      </c>
      <c r="D7" s="5">
        <v>4140</v>
      </c>
      <c r="E7" s="5">
        <f t="shared" ref="E7:E10" si="0">C7+D7</f>
        <v>16351.4</v>
      </c>
      <c r="F7" s="5"/>
      <c r="G7" s="5">
        <v>11153</v>
      </c>
      <c r="H7" s="5">
        <f t="shared" ref="H7:H10" si="1">E7-G7</f>
        <v>5198.3999999999996</v>
      </c>
      <c r="I7" s="48"/>
      <c r="J7" s="1"/>
    </row>
    <row r="8" spans="1:10" ht="15.75" customHeight="1" x14ac:dyDescent="0.3">
      <c r="A8" s="144" t="s">
        <v>76</v>
      </c>
      <c r="B8" s="144"/>
      <c r="C8" s="5">
        <f>474251.98+5000</f>
        <v>479251.98</v>
      </c>
      <c r="D8" s="5">
        <f>1240205.26-50000-8186-5000</f>
        <v>1177019.26</v>
      </c>
      <c r="E8" s="5">
        <f t="shared" si="0"/>
        <v>1656271.24</v>
      </c>
      <c r="F8" s="5"/>
      <c r="G8" s="5">
        <v>1818409</v>
      </c>
      <c r="H8" s="5">
        <f t="shared" si="1"/>
        <v>-162137.76</v>
      </c>
      <c r="I8" s="48" t="s">
        <v>177</v>
      </c>
      <c r="J8" s="1"/>
    </row>
    <row r="9" spans="1:10" ht="15.75" customHeight="1" x14ac:dyDescent="0.3">
      <c r="A9" s="144" t="s">
        <v>141</v>
      </c>
      <c r="B9" s="144"/>
      <c r="C9" s="5">
        <v>167632.81</v>
      </c>
      <c r="D9" s="5">
        <v>40801</v>
      </c>
      <c r="E9" s="5">
        <f t="shared" si="0"/>
        <v>208433.81</v>
      </c>
      <c r="F9" s="5"/>
      <c r="G9" s="5">
        <f>293526+14908</f>
        <v>308434</v>
      </c>
      <c r="H9" s="5">
        <f t="shared" si="1"/>
        <v>-100000.19</v>
      </c>
      <c r="I9" s="48" t="s">
        <v>176</v>
      </c>
      <c r="J9" s="1"/>
    </row>
    <row r="10" spans="1:10" ht="15.75" customHeight="1" x14ac:dyDescent="0.3">
      <c r="A10" s="145" t="s">
        <v>136</v>
      </c>
      <c r="B10" s="145"/>
      <c r="C10" s="74">
        <v>37286.650000000023</v>
      </c>
      <c r="D10" s="5">
        <v>39999.980000000003</v>
      </c>
      <c r="E10" s="5">
        <f t="shared" si="0"/>
        <v>77286.630000000034</v>
      </c>
      <c r="F10" s="5"/>
      <c r="G10" s="5">
        <v>80000</v>
      </c>
      <c r="H10" s="5">
        <f t="shared" si="1"/>
        <v>-2713.3699999999662</v>
      </c>
      <c r="I10" s="48"/>
      <c r="J10" s="1"/>
    </row>
    <row r="11" spans="1:10" ht="15.75" customHeight="1" x14ac:dyDescent="0.3">
      <c r="A11" s="144" t="s">
        <v>75</v>
      </c>
      <c r="B11" s="144"/>
      <c r="C11" s="8">
        <f>SUM(C6:C10)</f>
        <v>1489978.81</v>
      </c>
      <c r="D11" s="8">
        <f t="shared" ref="D11" si="2">SUM(D6:D10)</f>
        <v>1700021.24</v>
      </c>
      <c r="E11" s="8">
        <f>SUM(E6:E10)</f>
        <v>3190000.05</v>
      </c>
      <c r="F11" s="9"/>
      <c r="G11" s="44">
        <f>SUM(G6:G10)</f>
        <v>3525000</v>
      </c>
      <c r="H11" s="44">
        <f>SUM(H6:H10)</f>
        <v>-334999.95000000007</v>
      </c>
      <c r="I11" s="48"/>
      <c r="J11" s="45"/>
    </row>
    <row r="12" spans="1:10" ht="15.75" customHeight="1" x14ac:dyDescent="0.3">
      <c r="C12" s="7"/>
      <c r="D12" s="7"/>
      <c r="E12" s="7"/>
      <c r="F12" s="7"/>
      <c r="G12" s="7"/>
      <c r="H12" s="7"/>
      <c r="I12" s="23"/>
      <c r="J12" s="1"/>
    </row>
    <row r="13" spans="1:10" ht="15.75" customHeight="1" x14ac:dyDescent="0.3">
      <c r="A13" s="144" t="s">
        <v>32</v>
      </c>
      <c r="B13" s="144"/>
      <c r="C13" s="7"/>
      <c r="D13" s="7"/>
      <c r="E13" s="7"/>
      <c r="F13" s="7"/>
      <c r="G13" s="7"/>
      <c r="H13" s="7"/>
      <c r="I13" s="23"/>
      <c r="J13" s="1"/>
    </row>
    <row r="14" spans="1:10" ht="15.75" customHeight="1" x14ac:dyDescent="0.3">
      <c r="A14" s="144" t="s">
        <v>131</v>
      </c>
      <c r="B14" s="144"/>
      <c r="C14" s="73">
        <v>862695.08</v>
      </c>
      <c r="D14" s="73">
        <v>1033625.72</v>
      </c>
      <c r="E14" s="5">
        <f>C14+D14</f>
        <v>1896320.7999999998</v>
      </c>
      <c r="F14" s="5"/>
      <c r="G14" s="5">
        <v>2067182</v>
      </c>
      <c r="H14" s="5">
        <f>E14-G14</f>
        <v>-170861.20000000019</v>
      </c>
      <c r="I14" s="23" t="s">
        <v>127</v>
      </c>
      <c r="J14" s="1"/>
    </row>
    <row r="15" spans="1:10" ht="15.75" customHeight="1" x14ac:dyDescent="0.3">
      <c r="A15" s="144" t="s">
        <v>62</v>
      </c>
      <c r="B15" s="144"/>
      <c r="C15" s="73">
        <v>170357.3</v>
      </c>
      <c r="D15" s="73">
        <v>255371</v>
      </c>
      <c r="E15" s="5">
        <f t="shared" ref="E15:E42" si="3">C15+D15</f>
        <v>425728.3</v>
      </c>
      <c r="F15" s="5"/>
      <c r="G15" s="5">
        <v>287708</v>
      </c>
      <c r="H15" s="5">
        <f t="shared" ref="H15:H42" si="4">E15-G15</f>
        <v>138020.29999999999</v>
      </c>
      <c r="I15" s="23" t="s">
        <v>153</v>
      </c>
      <c r="J15" s="1"/>
    </row>
    <row r="16" spans="1:10" ht="15.75" customHeight="1" x14ac:dyDescent="0.3">
      <c r="A16" s="144" t="s">
        <v>61</v>
      </c>
      <c r="B16" s="144"/>
      <c r="C16" s="73">
        <v>59453.62</v>
      </c>
      <c r="D16" s="73">
        <f>46047-10000</f>
        <v>36047</v>
      </c>
      <c r="E16" s="5">
        <f t="shared" si="3"/>
        <v>95500.62</v>
      </c>
      <c r="F16" s="5"/>
      <c r="G16" s="5">
        <v>94872</v>
      </c>
      <c r="H16" s="5">
        <f t="shared" si="4"/>
        <v>628.61999999999534</v>
      </c>
      <c r="I16" s="23"/>
      <c r="J16" s="1"/>
    </row>
    <row r="17" spans="1:10" ht="15.75" customHeight="1" x14ac:dyDescent="0.3">
      <c r="A17" s="144" t="s">
        <v>60</v>
      </c>
      <c r="B17" s="144"/>
      <c r="C17" s="73">
        <v>37223.57</v>
      </c>
      <c r="D17" s="73">
        <v>120876</v>
      </c>
      <c r="E17" s="5">
        <f t="shared" si="3"/>
        <v>158099.57</v>
      </c>
      <c r="F17" s="74"/>
      <c r="G17" s="5">
        <v>120876</v>
      </c>
      <c r="H17" s="5">
        <f t="shared" si="4"/>
        <v>37223.570000000007</v>
      </c>
      <c r="I17" s="23" t="s">
        <v>179</v>
      </c>
      <c r="J17" s="1"/>
    </row>
    <row r="18" spans="1:10" ht="15.75" customHeight="1" x14ac:dyDescent="0.3">
      <c r="A18" s="144" t="s">
        <v>59</v>
      </c>
      <c r="B18" s="144"/>
      <c r="C18" s="73">
        <v>177011.12</v>
      </c>
      <c r="D18" s="73">
        <f>25000+7500+2598</f>
        <v>35098</v>
      </c>
      <c r="E18" s="5">
        <f t="shared" si="3"/>
        <v>212109.12</v>
      </c>
      <c r="F18" s="5"/>
      <c r="G18" s="5">
        <v>212534</v>
      </c>
      <c r="H18" s="5">
        <f t="shared" si="4"/>
        <v>-424.88000000000466</v>
      </c>
      <c r="I18" s="23"/>
      <c r="J18" s="1"/>
    </row>
    <row r="19" spans="1:10" ht="15.75" customHeight="1" x14ac:dyDescent="0.3">
      <c r="A19" s="3" t="s">
        <v>151</v>
      </c>
      <c r="B19" s="3"/>
      <c r="C19" s="73">
        <v>29500</v>
      </c>
      <c r="D19" s="73">
        <v>0</v>
      </c>
      <c r="E19" s="5">
        <f t="shared" si="3"/>
        <v>29500</v>
      </c>
      <c r="F19" s="5"/>
      <c r="G19" s="5">
        <v>14000</v>
      </c>
      <c r="H19" s="5">
        <f t="shared" si="4"/>
        <v>15500</v>
      </c>
      <c r="I19" s="23" t="s">
        <v>175</v>
      </c>
      <c r="J19" s="1"/>
    </row>
    <row r="20" spans="1:10" ht="15.75" customHeight="1" x14ac:dyDescent="0.3">
      <c r="A20" s="144" t="s">
        <v>58</v>
      </c>
      <c r="B20" s="144"/>
      <c r="C20" s="73">
        <v>10969.49</v>
      </c>
      <c r="D20" s="73">
        <v>68069.5</v>
      </c>
      <c r="E20" s="5">
        <f t="shared" si="3"/>
        <v>79038.990000000005</v>
      </c>
      <c r="F20" s="5"/>
      <c r="G20" s="5">
        <v>80288.5</v>
      </c>
      <c r="H20" s="5">
        <f t="shared" si="4"/>
        <v>-1249.5099999999948</v>
      </c>
      <c r="I20" s="23"/>
      <c r="J20" s="1"/>
    </row>
    <row r="21" spans="1:10" ht="15.75" customHeight="1" x14ac:dyDescent="0.3">
      <c r="A21" s="144" t="s">
        <v>57</v>
      </c>
      <c r="B21" s="144"/>
      <c r="C21" s="73">
        <v>113588.38</v>
      </c>
      <c r="D21" s="73">
        <v>226919.6</v>
      </c>
      <c r="E21" s="5">
        <f t="shared" si="3"/>
        <v>340507.98</v>
      </c>
      <c r="F21" s="5"/>
      <c r="G21" s="5">
        <v>341335</v>
      </c>
      <c r="H21" s="5">
        <f t="shared" si="4"/>
        <v>-827.02000000001863</v>
      </c>
      <c r="I21" s="23"/>
      <c r="J21" s="1"/>
    </row>
    <row r="22" spans="1:10" ht="15.75" customHeight="1" x14ac:dyDescent="0.3">
      <c r="A22" s="144" t="s">
        <v>56</v>
      </c>
      <c r="B22" s="144"/>
      <c r="C22" s="73">
        <v>9748.5499999999993</v>
      </c>
      <c r="D22" s="73">
        <v>15160</v>
      </c>
      <c r="E22" s="5">
        <f t="shared" si="3"/>
        <v>24908.55</v>
      </c>
      <c r="F22" s="5"/>
      <c r="G22" s="5">
        <v>27990</v>
      </c>
      <c r="H22" s="5">
        <f t="shared" si="4"/>
        <v>-3081.4500000000007</v>
      </c>
      <c r="I22" s="23"/>
      <c r="J22" s="1"/>
    </row>
    <row r="23" spans="1:10" ht="15.75" customHeight="1" x14ac:dyDescent="0.3">
      <c r="A23" s="144" t="s">
        <v>74</v>
      </c>
      <c r="B23" s="144"/>
      <c r="C23" s="73">
        <v>0</v>
      </c>
      <c r="D23" s="73">
        <v>500</v>
      </c>
      <c r="E23" s="5">
        <f t="shared" si="3"/>
        <v>500</v>
      </c>
      <c r="F23" s="5"/>
      <c r="G23" s="5">
        <v>2085</v>
      </c>
      <c r="H23" s="5">
        <f t="shared" si="4"/>
        <v>-1585</v>
      </c>
      <c r="I23" s="23"/>
      <c r="J23" s="1"/>
    </row>
    <row r="24" spans="1:10" ht="15.75" customHeight="1" x14ac:dyDescent="0.3">
      <c r="A24" s="144" t="s">
        <v>55</v>
      </c>
      <c r="B24" s="144"/>
      <c r="C24" s="73">
        <v>25.44</v>
      </c>
      <c r="D24" s="73">
        <v>18000.02</v>
      </c>
      <c r="E24" s="5">
        <f t="shared" si="3"/>
        <v>18025.46</v>
      </c>
      <c r="F24" s="5"/>
      <c r="G24" s="5">
        <v>23000</v>
      </c>
      <c r="H24" s="5">
        <f t="shared" si="4"/>
        <v>-4974.5400000000009</v>
      </c>
      <c r="I24" s="23"/>
      <c r="J24" s="1"/>
    </row>
    <row r="25" spans="1:10" ht="15.75" customHeight="1" x14ac:dyDescent="0.3">
      <c r="A25" s="144" t="s">
        <v>54</v>
      </c>
      <c r="B25" s="144"/>
      <c r="C25" s="73">
        <v>156.49</v>
      </c>
      <c r="D25" s="73">
        <v>1600</v>
      </c>
      <c r="E25" s="5">
        <f t="shared" si="3"/>
        <v>1756.49</v>
      </c>
      <c r="F25" s="5"/>
      <c r="G25" s="5">
        <v>1700</v>
      </c>
      <c r="H25" s="5">
        <f t="shared" si="4"/>
        <v>56.490000000000009</v>
      </c>
      <c r="I25" s="23"/>
      <c r="J25" s="1"/>
    </row>
    <row r="26" spans="1:10" ht="15.75" customHeight="1" x14ac:dyDescent="0.3">
      <c r="A26" s="144" t="s">
        <v>53</v>
      </c>
      <c r="B26" s="144"/>
      <c r="C26" s="73">
        <v>213.02</v>
      </c>
      <c r="D26" s="73">
        <f>3525+500</f>
        <v>4025</v>
      </c>
      <c r="E26" s="5">
        <f t="shared" si="3"/>
        <v>4238.0200000000004</v>
      </c>
      <c r="F26" s="5"/>
      <c r="G26" s="5">
        <v>7050</v>
      </c>
      <c r="H26" s="5">
        <f t="shared" si="4"/>
        <v>-2811.9799999999996</v>
      </c>
      <c r="I26" s="23"/>
      <c r="J26" s="1"/>
    </row>
    <row r="27" spans="1:10" ht="15.75" customHeight="1" x14ac:dyDescent="0.3">
      <c r="A27" s="144" t="s">
        <v>73</v>
      </c>
      <c r="B27" s="144"/>
      <c r="C27" s="73">
        <v>5053.99</v>
      </c>
      <c r="D27" s="73">
        <v>4845</v>
      </c>
      <c r="E27" s="5">
        <f t="shared" si="3"/>
        <v>9898.99</v>
      </c>
      <c r="F27" s="5"/>
      <c r="G27" s="5">
        <v>6218</v>
      </c>
      <c r="H27" s="5">
        <f t="shared" si="4"/>
        <v>3680.99</v>
      </c>
      <c r="I27" s="23"/>
      <c r="J27" s="1"/>
    </row>
    <row r="28" spans="1:10" ht="15.75" customHeight="1" x14ac:dyDescent="0.3">
      <c r="A28" s="3" t="s">
        <v>117</v>
      </c>
      <c r="B28" s="3"/>
      <c r="C28" s="73">
        <v>428.97</v>
      </c>
      <c r="D28" s="73">
        <v>14050</v>
      </c>
      <c r="E28" s="5">
        <f t="shared" si="3"/>
        <v>14478.97</v>
      </c>
      <c r="F28" s="5"/>
      <c r="G28" s="5">
        <v>12539</v>
      </c>
      <c r="H28" s="5">
        <f t="shared" si="4"/>
        <v>1939.9699999999993</v>
      </c>
      <c r="I28" s="23"/>
      <c r="J28" s="1"/>
    </row>
    <row r="29" spans="1:10" ht="15.75" customHeight="1" x14ac:dyDescent="0.3">
      <c r="A29" s="144" t="s">
        <v>52</v>
      </c>
      <c r="B29" s="144"/>
      <c r="C29" s="73">
        <v>3641.33</v>
      </c>
      <c r="D29" s="73">
        <v>10300</v>
      </c>
      <c r="E29" s="5">
        <f t="shared" si="3"/>
        <v>13941.33</v>
      </c>
      <c r="F29" s="5"/>
      <c r="G29" s="5">
        <v>17251</v>
      </c>
      <c r="H29" s="5">
        <f t="shared" si="4"/>
        <v>-3309.67</v>
      </c>
      <c r="I29" s="23"/>
      <c r="J29" s="1"/>
    </row>
    <row r="30" spans="1:10" ht="15.75" customHeight="1" x14ac:dyDescent="0.3">
      <c r="A30" s="144" t="s">
        <v>51</v>
      </c>
      <c r="B30" s="144"/>
      <c r="C30" s="73">
        <v>6811.71</v>
      </c>
      <c r="D30" s="73">
        <v>6575.02</v>
      </c>
      <c r="E30" s="5">
        <f t="shared" si="3"/>
        <v>13386.73</v>
      </c>
      <c r="F30" s="5"/>
      <c r="G30" s="5">
        <v>13150</v>
      </c>
      <c r="H30" s="5">
        <f t="shared" si="4"/>
        <v>236.72999999999956</v>
      </c>
      <c r="I30" s="23"/>
      <c r="J30" s="1"/>
    </row>
    <row r="31" spans="1:10" ht="15.75" customHeight="1" x14ac:dyDescent="0.3">
      <c r="A31" s="144" t="s">
        <v>50</v>
      </c>
      <c r="B31" s="144"/>
      <c r="C31" s="73">
        <v>9938.67</v>
      </c>
      <c r="D31" s="73">
        <v>10525.02</v>
      </c>
      <c r="E31" s="5">
        <f t="shared" si="3"/>
        <v>20463.690000000002</v>
      </c>
      <c r="F31" s="5"/>
      <c r="G31" s="5">
        <v>21050</v>
      </c>
      <c r="H31" s="5">
        <f t="shared" si="4"/>
        <v>-586.30999999999767</v>
      </c>
      <c r="I31" s="23"/>
      <c r="J31" s="1"/>
    </row>
    <row r="32" spans="1:10" ht="15.75" customHeight="1" x14ac:dyDescent="0.3">
      <c r="A32" s="144" t="s">
        <v>48</v>
      </c>
      <c r="B32" s="144"/>
      <c r="C32" s="73">
        <v>14557.05</v>
      </c>
      <c r="D32" s="73">
        <v>20636.52</v>
      </c>
      <c r="E32" s="5">
        <f t="shared" si="3"/>
        <v>35193.57</v>
      </c>
      <c r="F32" s="5"/>
      <c r="G32" s="5">
        <v>37273</v>
      </c>
      <c r="H32" s="5">
        <f t="shared" si="4"/>
        <v>-2079.4300000000003</v>
      </c>
      <c r="I32" s="23"/>
      <c r="J32" s="1"/>
    </row>
    <row r="33" spans="1:14" ht="15.75" customHeight="1" x14ac:dyDescent="0.3">
      <c r="A33" s="144" t="s">
        <v>47</v>
      </c>
      <c r="B33" s="144"/>
      <c r="C33" s="73">
        <v>24452.76</v>
      </c>
      <c r="D33" s="73">
        <v>47826.02</v>
      </c>
      <c r="E33" s="5">
        <f t="shared" si="3"/>
        <v>72278.78</v>
      </c>
      <c r="F33" s="5"/>
      <c r="G33" s="5">
        <v>71949</v>
      </c>
      <c r="H33" s="5">
        <f t="shared" si="4"/>
        <v>329.77999999999884</v>
      </c>
      <c r="I33" s="23"/>
      <c r="J33" s="1"/>
      <c r="N33" s="45"/>
    </row>
    <row r="34" spans="1:14" ht="15.75" customHeight="1" x14ac:dyDescent="0.3">
      <c r="A34" s="144" t="s">
        <v>46</v>
      </c>
      <c r="B34" s="144"/>
      <c r="C34" s="73">
        <v>1646.22</v>
      </c>
      <c r="D34" s="73">
        <v>9220.0400000000009</v>
      </c>
      <c r="E34" s="5">
        <f t="shared" si="3"/>
        <v>10866.26</v>
      </c>
      <c r="F34" s="5"/>
      <c r="G34" s="5">
        <v>11593</v>
      </c>
      <c r="H34" s="5">
        <f t="shared" si="4"/>
        <v>-726.73999999999978</v>
      </c>
      <c r="I34" s="23"/>
      <c r="J34" s="1"/>
    </row>
    <row r="35" spans="1:14" ht="15.75" customHeight="1" x14ac:dyDescent="0.3">
      <c r="A35" s="144" t="s">
        <v>45</v>
      </c>
      <c r="B35" s="144"/>
      <c r="C35" s="73">
        <v>46321.45</v>
      </c>
      <c r="D35" s="73">
        <v>277</v>
      </c>
      <c r="E35" s="5">
        <f t="shared" si="3"/>
        <v>46598.45</v>
      </c>
      <c r="F35" s="5"/>
      <c r="G35" s="5">
        <v>50444</v>
      </c>
      <c r="H35" s="5">
        <f t="shared" si="4"/>
        <v>-3845.5500000000029</v>
      </c>
      <c r="I35" s="23"/>
      <c r="J35" s="1"/>
    </row>
    <row r="36" spans="1:14" ht="15.75" customHeight="1" x14ac:dyDescent="0.3">
      <c r="A36" s="144" t="s">
        <v>134</v>
      </c>
      <c r="B36" s="144"/>
      <c r="C36" s="73">
        <v>0</v>
      </c>
      <c r="D36" s="73">
        <v>429</v>
      </c>
      <c r="E36" s="5">
        <f t="shared" si="3"/>
        <v>429</v>
      </c>
      <c r="F36" s="5"/>
      <c r="G36" s="5">
        <v>429</v>
      </c>
      <c r="H36" s="5">
        <f t="shared" si="4"/>
        <v>0</v>
      </c>
      <c r="I36" s="23"/>
      <c r="J36" s="1"/>
    </row>
    <row r="37" spans="1:14" ht="15.75" customHeight="1" x14ac:dyDescent="0.3">
      <c r="A37" s="144" t="s">
        <v>44</v>
      </c>
      <c r="B37" s="144"/>
      <c r="C37" s="73">
        <v>9458.94</v>
      </c>
      <c r="D37" s="73">
        <v>12250</v>
      </c>
      <c r="E37" s="5">
        <f t="shared" si="3"/>
        <v>21708.940000000002</v>
      </c>
      <c r="F37" s="5"/>
      <c r="G37" s="5">
        <v>22500</v>
      </c>
      <c r="H37" s="5">
        <f t="shared" si="4"/>
        <v>-791.05999999999767</v>
      </c>
      <c r="I37" s="23"/>
      <c r="J37" s="1"/>
    </row>
    <row r="38" spans="1:14" ht="15.75" customHeight="1" x14ac:dyDescent="0.3">
      <c r="A38" s="144" t="s">
        <v>43</v>
      </c>
      <c r="B38" s="144"/>
      <c r="C38" s="73">
        <v>2823.21</v>
      </c>
      <c r="D38" s="73">
        <v>2778.5</v>
      </c>
      <c r="E38" s="5">
        <f t="shared" si="3"/>
        <v>5601.71</v>
      </c>
      <c r="F38" s="5"/>
      <c r="G38" s="5">
        <v>4999</v>
      </c>
      <c r="H38" s="5">
        <f t="shared" si="4"/>
        <v>602.71</v>
      </c>
      <c r="I38" s="23"/>
      <c r="J38" s="1"/>
    </row>
    <row r="39" spans="1:14" ht="15.75" customHeight="1" x14ac:dyDescent="0.3">
      <c r="A39" s="144" t="s">
        <v>42</v>
      </c>
      <c r="B39" s="144"/>
      <c r="C39" s="73">
        <v>15369.57</v>
      </c>
      <c r="D39" s="73">
        <v>26017.63</v>
      </c>
      <c r="E39" s="5">
        <f t="shared" si="3"/>
        <v>41387.199999999997</v>
      </c>
      <c r="F39" s="5"/>
      <c r="G39" s="5">
        <v>41486.5</v>
      </c>
      <c r="H39" s="5">
        <f t="shared" si="4"/>
        <v>-99.30000000000291</v>
      </c>
      <c r="I39" s="23"/>
      <c r="J39" s="1"/>
    </row>
    <row r="40" spans="1:14" ht="15.75" customHeight="1" x14ac:dyDescent="0.3">
      <c r="A40" s="144" t="s">
        <v>72</v>
      </c>
      <c r="B40" s="144"/>
      <c r="C40" s="73">
        <v>2099.66</v>
      </c>
      <c r="D40" s="73">
        <v>4000</v>
      </c>
      <c r="E40" s="5">
        <f t="shared" si="3"/>
        <v>6099.66</v>
      </c>
      <c r="F40" s="5"/>
      <c r="G40" s="5">
        <v>5236</v>
      </c>
      <c r="H40" s="5">
        <f t="shared" si="4"/>
        <v>863.65999999999985</v>
      </c>
      <c r="I40" s="23"/>
      <c r="J40" s="1"/>
    </row>
    <row r="41" spans="1:14" ht="15.75" customHeight="1" x14ac:dyDescent="0.3">
      <c r="A41" s="3" t="s">
        <v>129</v>
      </c>
      <c r="B41" s="3"/>
      <c r="C41" s="73">
        <v>500</v>
      </c>
      <c r="D41" s="73">
        <v>750</v>
      </c>
      <c r="E41" s="5">
        <f t="shared" si="3"/>
        <v>1250</v>
      </c>
      <c r="F41" s="5"/>
      <c r="G41" s="5">
        <v>750</v>
      </c>
      <c r="H41" s="5">
        <f t="shared" si="4"/>
        <v>500</v>
      </c>
      <c r="I41" s="23"/>
      <c r="J41" s="1"/>
    </row>
    <row r="42" spans="1:14" ht="15.75" customHeight="1" x14ac:dyDescent="0.3">
      <c r="A42" s="3" t="s">
        <v>120</v>
      </c>
      <c r="B42" s="3"/>
      <c r="C42" s="73">
        <v>48926.62</v>
      </c>
      <c r="D42" s="73">
        <v>51256</v>
      </c>
      <c r="E42" s="5">
        <f t="shared" si="3"/>
        <v>100182.62</v>
      </c>
      <c r="F42" s="5"/>
      <c r="G42" s="5">
        <v>102512</v>
      </c>
      <c r="H42" s="5">
        <f t="shared" si="4"/>
        <v>-2329.3800000000047</v>
      </c>
      <c r="I42" s="23"/>
      <c r="J42" s="1"/>
      <c r="K42" s="45"/>
    </row>
    <row r="43" spans="1:14" ht="15.75" customHeight="1" x14ac:dyDescent="0.3">
      <c r="A43" s="144" t="s">
        <v>22</v>
      </c>
      <c r="B43" s="144"/>
      <c r="C43" s="44">
        <f>SUM(C14:C42)</f>
        <v>1662972.21</v>
      </c>
      <c r="D43" s="8">
        <f>SUM(D14:D42)</f>
        <v>2037027.59</v>
      </c>
      <c r="E43" s="8">
        <f>SUM(E14:E42)</f>
        <v>3699999.8000000003</v>
      </c>
      <c r="F43" s="9"/>
      <c r="G43" s="44">
        <f>SUM(G14:G42)</f>
        <v>3700000</v>
      </c>
      <c r="H43" s="44">
        <f>SUM(H14:H42)</f>
        <v>-0.2000000002235538</v>
      </c>
      <c r="I43" s="48"/>
      <c r="J43" s="45"/>
    </row>
    <row r="44" spans="1:14" ht="15.75" customHeight="1" x14ac:dyDescent="0.3">
      <c r="C44" s="7"/>
      <c r="D44" s="7"/>
      <c r="E44" s="7"/>
      <c r="F44" s="7"/>
      <c r="G44" s="7"/>
      <c r="H44" s="7"/>
      <c r="I44" s="23"/>
      <c r="J44" s="45"/>
    </row>
    <row r="45" spans="1:14" ht="15.75" customHeight="1" x14ac:dyDescent="0.3">
      <c r="A45" s="1" t="s">
        <v>170</v>
      </c>
      <c r="C45" s="7"/>
      <c r="D45" s="7"/>
      <c r="E45" s="7">
        <v>175000</v>
      </c>
      <c r="F45" s="7"/>
      <c r="G45" s="7">
        <v>175000</v>
      </c>
      <c r="H45" s="7"/>
      <c r="I45" s="23"/>
      <c r="J45" s="45"/>
    </row>
    <row r="46" spans="1:14" ht="15.75" customHeight="1" x14ac:dyDescent="0.3">
      <c r="C46" s="7"/>
      <c r="D46" s="7"/>
      <c r="E46" s="7"/>
      <c r="F46" s="7"/>
      <c r="G46" s="7"/>
      <c r="H46" s="7"/>
      <c r="I46" s="23"/>
      <c r="J46" s="45"/>
    </row>
    <row r="47" spans="1:14" ht="15.75" customHeight="1" thickBot="1" x14ac:dyDescent="0.35">
      <c r="A47" s="141" t="s">
        <v>133</v>
      </c>
      <c r="B47" s="141"/>
      <c r="C47" s="17"/>
      <c r="D47" s="17"/>
      <c r="E47" s="17">
        <f>E11-E43+E45</f>
        <v>-334999.75000000047</v>
      </c>
      <c r="F47" s="17">
        <f>F11-F43+F45</f>
        <v>0</v>
      </c>
      <c r="G47" s="17">
        <f>G11-G43+G45</f>
        <v>0</v>
      </c>
      <c r="H47" s="70"/>
      <c r="I47" s="23"/>
      <c r="J47" s="45"/>
    </row>
    <row r="48" spans="1:14" ht="15.75" customHeight="1" thickTop="1" x14ac:dyDescent="0.3"/>
  </sheetData>
  <mergeCells count="39">
    <mergeCell ref="A38:B38"/>
    <mergeCell ref="A39:B39"/>
    <mergeCell ref="A40:B40"/>
    <mergeCell ref="A43:B43"/>
    <mergeCell ref="A47:B47"/>
    <mergeCell ref="A37:B37"/>
    <mergeCell ref="A26:B26"/>
    <mergeCell ref="A27:B27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11:B11"/>
    <mergeCell ref="A1:E1"/>
    <mergeCell ref="A2:E2"/>
    <mergeCell ref="A3:E3"/>
    <mergeCell ref="A4:B4"/>
    <mergeCell ref="A5:B5"/>
    <mergeCell ref="A6:B6"/>
    <mergeCell ref="A7:B7"/>
    <mergeCell ref="A8:B8"/>
    <mergeCell ref="A9:B9"/>
    <mergeCell ref="A10:B10"/>
  </mergeCells>
  <pageMargins left="0.1" right="0.1" top="0.25" bottom="0.25" header="0.5" footer="0.5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0734-4A9D-482B-806B-C0E96F412708}">
  <dimension ref="A1:G22"/>
  <sheetViews>
    <sheetView workbookViewId="0">
      <selection activeCell="L26" sqref="L26"/>
    </sheetView>
  </sheetViews>
  <sheetFormatPr defaultRowHeight="16.5" x14ac:dyDescent="0.3"/>
  <cols>
    <col min="1" max="1" width="5.28515625" style="28" customWidth="1"/>
    <col min="2" max="2" width="5.5703125" style="28" customWidth="1"/>
    <col min="3" max="3" width="50.28515625" style="28" customWidth="1"/>
    <col min="4" max="4" width="12.5703125" style="28" customWidth="1"/>
    <col min="5" max="5" width="2" style="28" customWidth="1"/>
    <col min="6" max="6" width="9.140625" style="38"/>
    <col min="7" max="7" width="11.5703125" style="28" bestFit="1" customWidth="1"/>
    <col min="8" max="16384" width="9.140625" style="28"/>
  </cols>
  <sheetData>
    <row r="1" spans="1:7" s="26" customFormat="1" ht="17.25" x14ac:dyDescent="0.3">
      <c r="A1" s="26" t="s">
        <v>107</v>
      </c>
      <c r="F1" s="27"/>
    </row>
    <row r="3" spans="1:7" x14ac:dyDescent="0.3">
      <c r="D3" s="29">
        <v>46022</v>
      </c>
      <c r="E3" s="30"/>
      <c r="F3" s="31"/>
    </row>
    <row r="4" spans="1:7" x14ac:dyDescent="0.3">
      <c r="B4" s="28" t="s">
        <v>149</v>
      </c>
      <c r="D4" s="83">
        <v>5045282</v>
      </c>
      <c r="E4" s="33"/>
      <c r="F4" s="31"/>
    </row>
    <row r="5" spans="1:7" x14ac:dyDescent="0.3">
      <c r="D5" s="32"/>
      <c r="E5" s="33"/>
      <c r="F5" s="31"/>
    </row>
    <row r="6" spans="1:7" x14ac:dyDescent="0.3">
      <c r="C6" s="28" t="s">
        <v>108</v>
      </c>
      <c r="D6" s="32">
        <v>21715.45</v>
      </c>
      <c r="E6" s="33"/>
      <c r="F6" s="31"/>
    </row>
    <row r="7" spans="1:7" x14ac:dyDescent="0.3">
      <c r="C7" s="28" t="s">
        <v>109</v>
      </c>
      <c r="D7" s="32">
        <v>0</v>
      </c>
      <c r="E7" s="33"/>
      <c r="F7" s="31"/>
    </row>
    <row r="8" spans="1:7" x14ac:dyDescent="0.3">
      <c r="C8" s="28" t="s">
        <v>110</v>
      </c>
      <c r="D8" s="32">
        <v>422941.17</v>
      </c>
      <c r="E8" s="33"/>
      <c r="F8" s="31"/>
    </row>
    <row r="9" spans="1:7" x14ac:dyDescent="0.3">
      <c r="C9" s="28" t="s">
        <v>111</v>
      </c>
      <c r="D9" s="32">
        <v>-13918.83</v>
      </c>
      <c r="E9" s="33"/>
      <c r="F9" s="31"/>
    </row>
    <row r="10" spans="1:7" x14ac:dyDescent="0.3">
      <c r="C10" s="28" t="s">
        <v>112</v>
      </c>
      <c r="D10" s="32">
        <v>44679.4</v>
      </c>
      <c r="E10" s="33"/>
      <c r="F10" s="31"/>
    </row>
    <row r="11" spans="1:7" x14ac:dyDescent="0.3">
      <c r="C11" s="28" t="s">
        <v>113</v>
      </c>
      <c r="D11" s="34">
        <v>-17605.16</v>
      </c>
      <c r="E11" s="35"/>
      <c r="F11" s="31"/>
    </row>
    <row r="12" spans="1:7" x14ac:dyDescent="0.3">
      <c r="D12" s="32"/>
      <c r="E12" s="33"/>
      <c r="F12" s="31"/>
    </row>
    <row r="13" spans="1:7" x14ac:dyDescent="0.3">
      <c r="B13" s="28" t="s">
        <v>114</v>
      </c>
      <c r="D13" s="36">
        <f>SUM(D4:D11)+1</f>
        <v>5503095.0300000003</v>
      </c>
      <c r="E13" s="36">
        <f t="shared" ref="E13" si="0">SUM(E4:E11)</f>
        <v>0</v>
      </c>
      <c r="F13" s="31"/>
      <c r="G13" s="37"/>
    </row>
    <row r="14" spans="1:7" x14ac:dyDescent="0.3">
      <c r="G14" s="39"/>
    </row>
    <row r="15" spans="1:7" s="38" customFormat="1" ht="14.25" x14ac:dyDescent="0.2"/>
    <row r="17" spans="4:7" x14ac:dyDescent="0.3">
      <c r="D17" s="40"/>
      <c r="G17" s="40"/>
    </row>
    <row r="18" spans="4:7" x14ac:dyDescent="0.3">
      <c r="D18" s="39"/>
    </row>
    <row r="21" spans="4:7" x14ac:dyDescent="0.3">
      <c r="G21" s="39"/>
    </row>
    <row r="22" spans="4:7" x14ac:dyDescent="0.3">
      <c r="G22" s="39"/>
    </row>
  </sheetData>
  <pageMargins left="0.7" right="0.7" top="0.75" bottom="0.75" header="0.3" footer="0.3"/>
  <pageSetup orientation="portrait" r:id="rId1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Financial Position</vt:lpstr>
      <vt:lpstr>Stmt Activities</vt:lpstr>
      <vt:lpstr>Functional Exp</vt:lpstr>
      <vt:lpstr>Restricted Net Asset Changes</vt:lpstr>
      <vt:lpstr>Budget variance</vt:lpstr>
      <vt:lpstr>FY26 Projections</vt:lpstr>
      <vt:lpstr>Endowment</vt:lpstr>
      <vt:lpstr>'Budget variance'!Print_Area</vt:lpstr>
      <vt:lpstr>Endowment!Print_Area</vt:lpstr>
      <vt:lpstr>'Financial Position'!Print_Area</vt:lpstr>
      <vt:lpstr>'Functional Exp'!Print_Area</vt:lpstr>
      <vt:lpstr>'FY26 Projections'!Print_Area</vt:lpstr>
      <vt:lpstr>'Restricted Net Asset Changes'!Print_Area</vt:lpstr>
      <vt:lpstr>'Stmt Activities'!Print_Area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Natalia Harding</cp:lastModifiedBy>
  <cp:lastPrinted>2026-01-09T16:26:29Z</cp:lastPrinted>
  <dcterms:created xsi:type="dcterms:W3CDTF">2023-09-08T19:08:44Z</dcterms:created>
  <dcterms:modified xsi:type="dcterms:W3CDTF">2026-01-09T19:07:20Z</dcterms:modified>
</cp:coreProperties>
</file>