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oard\Board Meetings and Schedule\2025-2026 Board\09.23.25 BOD Meeting\Finance Documents\"/>
    </mc:Choice>
  </mc:AlternateContent>
  <xr:revisionPtr revIDLastSave="0" documentId="8_{2DE91849-1129-43EF-8AB4-7B226CB4D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Net Asset Changes" sheetId="8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variance'!$A$1:$H$72</definedName>
    <definedName name="_xlnm.Print_Area" localSheetId="5">Endowment!$A$1:$D$15</definedName>
    <definedName name="_xlnm.Print_Area" localSheetId="0">'Financial Position'!$A$1:$F$33</definedName>
    <definedName name="_xlnm.Print_Area" localSheetId="2">'Functional Exp'!$A$1:$L$44</definedName>
    <definedName name="_xlnm.Print_Area" localSheetId="3">'Restricted Net Asset Changes'!$A$1:$L$45</definedName>
    <definedName name="_xlnm.Print_Area" localSheetId="1">'Stmt Activities'!$A$1:$J$39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4" l="1"/>
  <c r="C68" i="4"/>
  <c r="C17" i="4"/>
  <c r="C11" i="4"/>
  <c r="D14" i="2"/>
  <c r="H14" i="2" l="1"/>
  <c r="G40" i="8"/>
  <c r="C39" i="8"/>
  <c r="C40" i="8" s="1"/>
  <c r="F25" i="1"/>
  <c r="F30" i="1"/>
  <c r="D7" i="1"/>
  <c r="H32" i="2"/>
  <c r="G39" i="8"/>
  <c r="G38" i="8"/>
  <c r="G37" i="8"/>
  <c r="G36" i="8"/>
  <c r="G35" i="8"/>
  <c r="G34" i="8"/>
  <c r="G33" i="8"/>
  <c r="G32" i="8"/>
  <c r="G31" i="8"/>
  <c r="G30" i="8"/>
  <c r="G29" i="8"/>
  <c r="G28" i="8"/>
  <c r="D28" i="8"/>
  <c r="D40" i="8" s="1"/>
  <c r="G25" i="8"/>
  <c r="E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10" i="8"/>
  <c r="F40" i="8" s="1"/>
  <c r="G9" i="8"/>
  <c r="G6" i="8"/>
  <c r="E5" i="8"/>
  <c r="G5" i="8" s="1"/>
  <c r="E40" i="8" l="1"/>
  <c r="F12" i="2" l="1"/>
  <c r="E25" i="3"/>
  <c r="E22" i="3"/>
  <c r="E20" i="3"/>
  <c r="E19" i="3"/>
  <c r="E14" i="3"/>
  <c r="E11" i="3"/>
  <c r="E9" i="3"/>
  <c r="D38" i="3"/>
  <c r="C38" i="3"/>
  <c r="E12" i="3"/>
  <c r="C9" i="4"/>
  <c r="C7" i="4"/>
  <c r="F14" i="2"/>
  <c r="F8" i="2"/>
  <c r="F9" i="2"/>
  <c r="F10" i="2"/>
  <c r="F11" i="2"/>
  <c r="F13" i="2"/>
  <c r="E15" i="2"/>
  <c r="F15" i="2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I31" i="3" s="1"/>
  <c r="H32" i="3"/>
  <c r="H33" i="3"/>
  <c r="H34" i="3"/>
  <c r="H35" i="3"/>
  <c r="H36" i="3"/>
  <c r="H37" i="3"/>
  <c r="E10" i="3"/>
  <c r="E13" i="3"/>
  <c r="E15" i="3"/>
  <c r="E16" i="3"/>
  <c r="E17" i="3"/>
  <c r="E18" i="3"/>
  <c r="E21" i="3"/>
  <c r="E23" i="3"/>
  <c r="E24" i="3"/>
  <c r="E26" i="3"/>
  <c r="E27" i="3"/>
  <c r="I27" i="3" s="1"/>
  <c r="E28" i="3"/>
  <c r="E29" i="3"/>
  <c r="E30" i="3"/>
  <c r="I30" i="3" s="1"/>
  <c r="E31" i="3"/>
  <c r="E32" i="3"/>
  <c r="E33" i="3"/>
  <c r="E34" i="3"/>
  <c r="E35" i="3"/>
  <c r="I35" i="3" s="1"/>
  <c r="E36" i="3"/>
  <c r="I36" i="3" s="1"/>
  <c r="E37" i="3"/>
  <c r="B38" i="3"/>
  <c r="I29" i="3" l="1"/>
  <c r="I37" i="3"/>
  <c r="I32" i="3"/>
  <c r="I28" i="3"/>
  <c r="I24" i="3"/>
  <c r="I14" i="3"/>
  <c r="I20" i="3"/>
  <c r="I11" i="3"/>
  <c r="I19" i="3"/>
  <c r="I22" i="3"/>
  <c r="I12" i="3"/>
  <c r="I16" i="3"/>
  <c r="I23" i="3"/>
  <c r="I15" i="3"/>
  <c r="I21" i="3"/>
  <c r="I13" i="3"/>
  <c r="I18" i="3"/>
  <c r="I17" i="3"/>
  <c r="I9" i="3"/>
  <c r="I26" i="3"/>
  <c r="I25" i="3"/>
  <c r="I10" i="3"/>
  <c r="I33" i="3"/>
  <c r="I34" i="3"/>
  <c r="C63" i="4" l="1"/>
  <c r="C12" i="4" s="1"/>
  <c r="F38" i="3" l="1"/>
  <c r="G38" i="3"/>
  <c r="C66" i="4" l="1"/>
  <c r="C13" i="4" l="1"/>
  <c r="C46" i="4"/>
  <c r="C69" i="4" s="1"/>
  <c r="D46" i="4"/>
  <c r="F21" i="1"/>
  <c r="F15" i="1" l="1"/>
  <c r="H16" i="2"/>
  <c r="D15" i="1" l="1"/>
  <c r="F32" i="2" l="1"/>
  <c r="F30" i="2"/>
  <c r="D21" i="1"/>
  <c r="E12" i="4" l="1"/>
  <c r="F26" i="1" l="1"/>
  <c r="K38" i="3" l="1"/>
  <c r="E11" i="4" l="1"/>
  <c r="E8" i="4"/>
  <c r="E9" i="4"/>
  <c r="E10" i="4"/>
  <c r="D13" i="4"/>
  <c r="E17" i="4" l="1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L31" i="3" l="1"/>
  <c r="L36" i="3"/>
  <c r="C59" i="4" l="1"/>
  <c r="C72" i="4" l="1"/>
  <c r="H27" i="2" l="1"/>
  <c r="H23" i="2"/>
  <c r="H28" i="2" l="1"/>
  <c r="H34" i="2" s="1"/>
  <c r="H38" i="2" s="1"/>
  <c r="L9" i="3" l="1"/>
  <c r="L10" i="3"/>
  <c r="L11" i="3"/>
  <c r="L12" i="3"/>
  <c r="L13" i="3"/>
  <c r="L14" i="3" l="1"/>
  <c r="L15" i="3"/>
  <c r="L16" i="3"/>
  <c r="L17" i="3"/>
  <c r="L19" i="3"/>
  <c r="L20" i="3"/>
  <c r="L21" i="3"/>
  <c r="L22" i="3"/>
  <c r="L23" i="3"/>
  <c r="L24" i="3"/>
  <c r="L25" i="3"/>
  <c r="L26" i="3"/>
  <c r="L27" i="3"/>
  <c r="L28" i="3"/>
  <c r="L29" i="3"/>
  <c r="L30" i="3"/>
  <c r="L32" i="3"/>
  <c r="L33" i="3"/>
  <c r="L34" i="3"/>
  <c r="L35" i="3"/>
  <c r="L37" i="3" l="1"/>
  <c r="D26" i="2" l="1"/>
  <c r="F26" i="2" s="1"/>
  <c r="G42" i="3"/>
  <c r="D21" i="2"/>
  <c r="F21" i="2" s="1"/>
  <c r="C42" i="3"/>
  <c r="D20" i="2"/>
  <c r="F20" i="2" s="1"/>
  <c r="B42" i="3"/>
  <c r="D25" i="2"/>
  <c r="F25" i="2" s="1"/>
  <c r="F42" i="3"/>
  <c r="D22" i="2"/>
  <c r="F22" i="2" s="1"/>
  <c r="D42" i="3"/>
  <c r="F7" i="2"/>
  <c r="E42" i="3" l="1"/>
  <c r="H42" i="3"/>
  <c r="D27" i="2"/>
  <c r="F27" i="2" s="1"/>
  <c r="D23" i="2"/>
  <c r="F23" i="2" s="1"/>
  <c r="I42" i="3" l="1"/>
  <c r="D28" i="2"/>
  <c r="H8" i="3"/>
  <c r="E8" i="3"/>
  <c r="E38" i="3" s="1"/>
  <c r="I44" i="3" l="1"/>
  <c r="B44" i="3"/>
  <c r="D44" i="3"/>
  <c r="F44" i="3"/>
  <c r="C44" i="3"/>
  <c r="G44" i="3"/>
  <c r="E44" i="3"/>
  <c r="H44" i="3"/>
  <c r="F28" i="2"/>
  <c r="C79" i="4" s="1"/>
  <c r="H38" i="3"/>
  <c r="I8" i="3"/>
  <c r="E13" i="7"/>
  <c r="D13" i="7"/>
  <c r="E16" i="4"/>
  <c r="E46" i="4" s="1"/>
  <c r="D48" i="4"/>
  <c r="F28" i="1"/>
  <c r="D26" i="1"/>
  <c r="F31" i="1" l="1"/>
  <c r="F33" i="1" s="1"/>
  <c r="L8" i="3"/>
  <c r="L38" i="3" s="1"/>
  <c r="I38" i="3"/>
  <c r="E7" i="4"/>
  <c r="E13" i="4" s="1"/>
  <c r="E48" i="4" s="1"/>
  <c r="E16" i="2" l="1"/>
  <c r="E34" i="2" s="1"/>
  <c r="E38" i="2" l="1"/>
  <c r="D30" i="1" s="1"/>
  <c r="D16" i="2"/>
  <c r="D34" i="2" l="1"/>
  <c r="D38" i="2" s="1"/>
  <c r="D25" i="1" s="1"/>
  <c r="F16" i="2"/>
  <c r="F34" i="2" l="1"/>
  <c r="D28" i="1"/>
  <c r="D31" i="1" s="1"/>
  <c r="D33" i="1" s="1"/>
  <c r="C48" i="4"/>
  <c r="F3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H21" authorId="0" shapeId="0" xr:uid="{6C6A68D6-2F52-44CB-BF9B-21ED330B15FF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WINGS $236k
Disaster $250k</t>
        </r>
      </text>
    </comment>
  </commentList>
</comments>
</file>

<file path=xl/sharedStrings.xml><?xml version="1.0" encoding="utf-8"?>
<sst xmlns="http://schemas.openxmlformats.org/spreadsheetml/2006/main" count="244" uniqueCount="202">
  <si>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</si>
  <si>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</si>
  <si>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</si>
  <si>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</si>
  <si>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</si>
  <si>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</si>
  <si>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</si>
  <si>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</si>
  <si>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</si>
  <si>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</si>
  <si>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</si>
  <si>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</si>
  <si>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</si>
  <si>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</si>
  <si>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</si>
  <si>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</si>
  <si>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</si>
  <si>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</si>
  <si>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</si>
  <si>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</si>
  <si>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</si>
  <si>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</si>
  <si>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</si>
  <si>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</si>
  <si>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</si>
  <si>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</si>
  <si>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</si>
  <si>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</si>
  <si>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</si>
  <si>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</si>
  <si>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</si>
  <si>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</si>
  <si>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</si>
  <si>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</si>
  <si>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</si>
  <si>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</si>
  <si>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</si>
  <si>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</si>
  <si>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</si>
  <si>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</si>
  <si>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</si>
  <si>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</si>
  <si>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</si>
  <si>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</si>
  <si>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</si>
  <si>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</si>
  <si>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</si>
  <si>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</si>
  <si>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</si>
  <si>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</si>
  <si>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</si>
  <si>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</si>
  <si>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</si>
  <si>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</si>
  <si>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</si>
  <si>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</si>
  <si>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</si>
  <si>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</si>
  <si>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</si>
  <si>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</si>
  <si>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</si>
  <si>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</si>
  <si>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</si>
  <si>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</si>
  <si>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</si>
  <si>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</si>
  <si>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</si>
  <si>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</si>
  <si>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</si>
  <si>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</si>
  <si>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</si>
  <si>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Future Ready Collier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</si>
  <si>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</si>
  <si>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</si>
  <si>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</si>
  <si>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</si>
  <si>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</si>
  <si>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</si>
  <si>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</si>
  <si>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</si>
  <si>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</si>
  <si>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</si>
  <si>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</si>
  <si>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</si>
  <si>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</si>
  <si>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</si>
  <si>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</si>
  <si>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</si>
  <si>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</si>
  <si>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</si>
  <si>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</si>
  <si>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</si>
  <si>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</si>
  <si>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</si>
  <si>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</si>
  <si>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</si>
  <si>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</si>
  <si>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</si>
  <si>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</si>
  <si>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</si>
  <si>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</si>
  <si>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</si>
  <si>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</si>
  <si>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</si>
  <si>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</si>
  <si>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</si>
  <si>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</si>
  <si>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</si>
  <si>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</si>
  <si>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</si>
  <si>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</si>
  <si>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</si>
  <si>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</si>
  <si>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</si>
  <si>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</si>
  <si>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</si>
  <si>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</si>
  <si>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</si>
  <si>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</si>
  <si>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</si>
  <si>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</si>
  <si>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</si>
  <si>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</si>
  <si>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</si>
  <si>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</si>
  <si>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</si>
  <si>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</si>
  <si>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</si>
  <si>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</si>
  <si>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</si>
  <si>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</si>
  <si>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 xml:space="preserve">     Awards and Recognition</t>
  </si>
  <si>
    <t>General Educator Programs</t>
  </si>
  <si>
    <t xml:space="preserve">Staff positions not hired. </t>
  </si>
  <si>
    <t>Below the Line Items</t>
  </si>
  <si>
    <t xml:space="preserve">   Expenses </t>
  </si>
  <si>
    <t xml:space="preserve">  Program Service Revenue (Contracted Services)</t>
  </si>
  <si>
    <t xml:space="preserve">     Program Service Revenue (Contracted Services)</t>
  </si>
  <si>
    <t xml:space="preserve">     Auction Expense</t>
  </si>
  <si>
    <t>Professional Contracts</t>
  </si>
  <si>
    <t>Total Revenue</t>
  </si>
  <si>
    <t xml:space="preserve">     Personnel Expenses (including Accrued Vacation)</t>
  </si>
  <si>
    <t>Sue Filip Fund</t>
  </si>
  <si>
    <t xml:space="preserve">   Income (not budget relieving)</t>
  </si>
  <si>
    <t>OPERATING NET SURPLUS/(DEFICIT)</t>
  </si>
  <si>
    <t>TOTAL NET SURPLUS (DEFICIT)</t>
  </si>
  <si>
    <t xml:space="preserve">     State Registration and Licensing Fees</t>
  </si>
  <si>
    <t xml:space="preserve">          Investment Revenue</t>
  </si>
  <si>
    <t xml:space="preserve">     Investment Income</t>
  </si>
  <si>
    <t>Prior Year -YTD 2024</t>
  </si>
  <si>
    <t>PYTD 2024 Totals</t>
  </si>
  <si>
    <t>Variance</t>
  </si>
  <si>
    <t>Endowment fund, beginning balance, July 1, 2024</t>
  </si>
  <si>
    <t>More school tours FY25</t>
  </si>
  <si>
    <t>BE Leadership FY24</t>
  </si>
  <si>
    <t xml:space="preserve">               Cash and Cash Equivalents (Everbank)</t>
  </si>
  <si>
    <t xml:space="preserve">               Cash and Cash Equivalents (Schwab)</t>
  </si>
  <si>
    <t>RTC program contracted services</t>
  </si>
  <si>
    <t>Hurricane Relief supplies</t>
  </si>
  <si>
    <t>Hurricane relief / Publix grants to teachers FY24</t>
  </si>
  <si>
    <t xml:space="preserve">               Accounts Payable</t>
  </si>
  <si>
    <t>Schoen Foundation - Endowment gift</t>
  </si>
  <si>
    <t>$2.5 Mil Schoen gift</t>
  </si>
  <si>
    <t>able to grant more than budgeted</t>
  </si>
  <si>
    <t>Only booking contributed</t>
  </si>
  <si>
    <t>YTD 2025 Total</t>
  </si>
  <si>
    <t xml:space="preserve">     Corporate/Organizational Revenue</t>
  </si>
  <si>
    <t xml:space="preserve">          In Kind Donations</t>
  </si>
  <si>
    <t xml:space="preserve">In Kind Donations </t>
  </si>
  <si>
    <t>In Kind Expenses</t>
  </si>
  <si>
    <t xml:space="preserve">               Accrued Payroll &amp; Vacation</t>
  </si>
  <si>
    <t>Change in Value of Endowment</t>
  </si>
  <si>
    <t xml:space="preserve">    Less: Special Event Expenses</t>
  </si>
  <si>
    <t>Total Expenses By Function</t>
  </si>
  <si>
    <t>Interfund Transfer</t>
  </si>
  <si>
    <t>less staff FY25 (9 less FTE)</t>
  </si>
  <si>
    <t>Breese - Bequest</t>
  </si>
  <si>
    <t>For the Period July 1 - June 30, 2025</t>
  </si>
  <si>
    <t>June 30, 2025</t>
  </si>
  <si>
    <t>6/30/25</t>
  </si>
  <si>
    <t>6/30/24</t>
  </si>
  <si>
    <t xml:space="preserve">               Contributions Receivable</t>
  </si>
  <si>
    <t xml:space="preserve">          Florida Prepaid</t>
  </si>
  <si>
    <t>FY 2025 Actual</t>
  </si>
  <si>
    <t>FY 2025 Budget</t>
  </si>
  <si>
    <t>Beginning Balance  07/01/2024</t>
  </si>
  <si>
    <t>Ending Balance 6/30/25</t>
  </si>
  <si>
    <t>Allocated to other student programs</t>
  </si>
  <si>
    <t xml:space="preserve">Farley Student Scholarship  </t>
  </si>
  <si>
    <t>Moved to Endowment</t>
  </si>
  <si>
    <t>$1M Teacher endowment moved to Endowment at CCF</t>
  </si>
  <si>
    <t>For the Period July 1, 2024 - June 30, 2025</t>
  </si>
  <si>
    <t>$1M endowment</t>
  </si>
  <si>
    <t>RECALCULATION OF PREPAID SCHOLARSHIPS</t>
  </si>
  <si>
    <t>Spend down</t>
  </si>
  <si>
    <t>Resiliency through June 30, 2025</t>
  </si>
  <si>
    <t>Florida Prepaid</t>
  </si>
  <si>
    <t>No GA leadership academy</t>
  </si>
  <si>
    <t>less than budgeted</t>
  </si>
  <si>
    <t>less staff</t>
  </si>
  <si>
    <t>In kinds not budgeted</t>
  </si>
  <si>
    <t>no live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</si>
</sst>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</numFmts>
  <fonts count="3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60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164" fontId="6" fillId="0" borderId="4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0" fontId="22" fillId="0" borderId="0" xfId="0" applyFont="1"/>
    <xf numFmtId="0" fontId="12" fillId="0" borderId="4" xfId="3" applyFont="1" applyBorder="1" applyAlignment="1">
      <alignment horizontal="center" wrapText="1"/>
    </xf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22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0" fontId="12" fillId="0" borderId="13" xfId="0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23" fillId="0" borderId="15" xfId="0" applyFont="1" applyBorder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4" fontId="12" fillId="0" borderId="0" xfId="0" applyNumberFormat="1" applyFont="1"/>
    <xf numFmtId="0" fontId="23" fillId="0" borderId="12" xfId="0" applyFont="1" applyBorder="1"/>
    <xf numFmtId="0" fontId="12" fillId="0" borderId="11" xfId="0" applyFont="1" applyBorder="1" applyAlignment="1">
      <alignment horizontal="left"/>
    </xf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9" fillId="0" borderId="4" xfId="3" applyNumberFormat="1" applyFont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49" fontId="5" fillId="0" borderId="0" xfId="12" applyNumberFormat="1" applyFont="1" applyAlignment="1">
      <alignment vertical="top"/>
    </xf>
    <xf numFmtId="0" fontId="6" fillId="0" borderId="0" xfId="12" applyFont="1"/>
    <xf numFmtId="0" fontId="22" fillId="0" borderId="0" xfId="12" applyFont="1"/>
    <xf numFmtId="43" fontId="6" fillId="0" borderId="0" xfId="13" applyFont="1"/>
    <xf numFmtId="49" fontId="5" fillId="0" borderId="1" xfId="12" applyNumberFormat="1" applyFont="1" applyBorder="1" applyAlignment="1">
      <alignment horizontal="center" wrapText="1"/>
    </xf>
    <xf numFmtId="49" fontId="5" fillId="0" borderId="1" xfId="12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38" fontId="10" fillId="0" borderId="0" xfId="13" applyNumberFormat="1" applyFont="1" applyAlignment="1">
      <alignment horizontal="right" vertical="top"/>
    </xf>
    <xf numFmtId="164" fontId="10" fillId="0" borderId="0" xfId="13" applyNumberFormat="1" applyFont="1" applyAlignment="1">
      <alignment horizontal="right" vertical="top"/>
    </xf>
    <xf numFmtId="164" fontId="6" fillId="0" borderId="0" xfId="12" applyNumberFormat="1" applyFont="1"/>
    <xf numFmtId="164" fontId="9" fillId="0" borderId="0" xfId="13" applyNumberFormat="1" applyFont="1"/>
    <xf numFmtId="38" fontId="6" fillId="0" borderId="0" xfId="12" applyNumberFormat="1" applyFont="1"/>
    <xf numFmtId="38" fontId="9" fillId="0" borderId="0" xfId="14" applyNumberFormat="1" applyFont="1"/>
    <xf numFmtId="38" fontId="10" fillId="0" borderId="0" xfId="13" applyNumberFormat="1" applyFont="1" applyFill="1" applyAlignment="1">
      <alignment horizontal="right" vertical="top"/>
    </xf>
    <xf numFmtId="38" fontId="10" fillId="0" borderId="1" xfId="13" applyNumberFormat="1" applyFont="1" applyBorder="1" applyAlignment="1">
      <alignment horizontal="right" vertical="top"/>
    </xf>
    <xf numFmtId="164" fontId="10" fillId="0" borderId="4" xfId="13" applyNumberFormat="1" applyFont="1" applyBorder="1" applyAlignment="1">
      <alignment horizontal="right" vertical="top"/>
    </xf>
    <xf numFmtId="164" fontId="8" fillId="0" borderId="0" xfId="13" applyNumberFormat="1" applyFont="1" applyAlignment="1">
      <alignment horizontal="right" vertical="top"/>
    </xf>
    <xf numFmtId="0" fontId="12" fillId="0" borderId="0" xfId="12" applyFont="1"/>
    <xf numFmtId="0" fontId="24" fillId="0" borderId="0" xfId="12" applyFont="1"/>
    <xf numFmtId="43" fontId="12" fillId="0" borderId="0" xfId="13" applyFont="1"/>
    <xf numFmtId="164" fontId="6" fillId="0" borderId="0" xfId="13" applyNumberFormat="1" applyFont="1"/>
    <xf numFmtId="164" fontId="6" fillId="0" borderId="8" xfId="0" applyNumberFormat="1" applyFont="1" applyBorder="1"/>
    <xf numFmtId="164" fontId="6" fillId="0" borderId="16" xfId="0" applyNumberFormat="1" applyFont="1" applyBorder="1"/>
    <xf numFmtId="164" fontId="6" fillId="0" borderId="13" xfId="0" applyNumberFormat="1" applyFont="1" applyBorder="1"/>
    <xf numFmtId="164" fontId="6" fillId="0" borderId="15" xfId="0" applyNumberFormat="1" applyFont="1" applyBorder="1"/>
    <xf numFmtId="0" fontId="12" fillId="0" borderId="10" xfId="0" applyFont="1" applyBorder="1"/>
    <xf numFmtId="164" fontId="12" fillId="0" borderId="12" xfId="0" applyNumberFormat="1" applyFont="1" applyBorder="1"/>
    <xf numFmtId="164" fontId="25" fillId="0" borderId="0" xfId="1" applyNumberFormat="1" applyFont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49" fontId="5" fillId="0" borderId="1" xfId="3" applyNumberFormat="1" applyFont="1" applyBorder="1" applyAlignment="1">
      <alignment horizontal="center"/>
    </xf>
    <xf numFmtId="49" fontId="5" fillId="0" borderId="0" xfId="12" applyNumberFormat="1" applyFont="1" applyAlignment="1">
      <alignment vertical="top"/>
    </xf>
    <xf numFmtId="49" fontId="7" fillId="0" borderId="0" xfId="12" applyNumberFormat="1" applyFont="1" applyAlignment="1">
      <alignment vertical="top"/>
    </xf>
    <xf numFmtId="14" fontId="5" fillId="0" borderId="0" xfId="12" applyNumberFormat="1" applyFont="1" applyAlignment="1">
      <alignment horizontal="left" vertical="top"/>
    </xf>
    <xf numFmtId="0" fontId="5" fillId="0" borderId="0" xfId="12" applyFont="1"/>
  </cellXfs>
  <cellStyles count="15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omma 3 2" xfId="13" xr:uid="{958AD8E2-CFDA-4488-98EF-574B7065434A}"/>
    <cellStyle name="Comma 4" xfId="14" xr:uid="{EF62BD33-FACC-4618-96E9-E83254F0363F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3 2" xfId="12" xr:uid="{73656519-9FAD-44D4-A411-301ACB0E628B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90" zoomScaleNormal="90" workbookViewId="0">
      <selection activeCell="J7" sqref="J7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3" customWidth="1"/>
    <col min="8" max="8" width="9.140625" style="74"/>
    <col min="9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46" t="s">
        <v>0</v>
      </c>
      <c r="B1" s="146"/>
      <c r="C1" s="146"/>
      <c r="D1" s="146"/>
      <c r="E1" s="146"/>
      <c r="F1" s="146"/>
    </row>
    <row r="2" spans="1:12" ht="19.899999999999999" customHeight="1" x14ac:dyDescent="0.3">
      <c r="A2" s="146" t="s">
        <v>1</v>
      </c>
      <c r="B2" s="146"/>
      <c r="C2" s="146"/>
      <c r="D2" s="146"/>
      <c r="E2" s="146"/>
      <c r="F2" s="146"/>
    </row>
    <row r="3" spans="1:12" ht="16.899999999999999" customHeight="1" x14ac:dyDescent="0.3">
      <c r="A3" s="146" t="s">
        <v>178</v>
      </c>
      <c r="B3" s="146"/>
      <c r="C3" s="146"/>
      <c r="D3" s="146"/>
      <c r="E3" s="146"/>
      <c r="F3" s="146"/>
    </row>
    <row r="4" spans="1:12" ht="15.75" customHeight="1" x14ac:dyDescent="0.3">
      <c r="A4" s="147"/>
      <c r="B4" s="147"/>
      <c r="C4" s="147"/>
      <c r="D4" s="147"/>
      <c r="E4" s="147"/>
      <c r="F4" s="147"/>
    </row>
    <row r="5" spans="1:12" ht="15.75" customHeight="1" x14ac:dyDescent="0.3">
      <c r="A5" s="2"/>
      <c r="B5" s="148"/>
      <c r="C5" s="148"/>
      <c r="D5" s="12" t="s">
        <v>179</v>
      </c>
      <c r="E5" s="11"/>
      <c r="F5" s="12" t="s">
        <v>180</v>
      </c>
    </row>
    <row r="6" spans="1:12" ht="15.75" customHeight="1" x14ac:dyDescent="0.3">
      <c r="A6" s="144" t="s">
        <v>2</v>
      </c>
      <c r="B6" s="144"/>
      <c r="C6" s="144"/>
      <c r="D6" s="4"/>
      <c r="E6" s="4"/>
      <c r="F6" s="4"/>
    </row>
    <row r="7" spans="1:12" ht="15.75" customHeight="1" x14ac:dyDescent="0.3">
      <c r="A7" s="144" t="s">
        <v>155</v>
      </c>
      <c r="B7" s="144"/>
      <c r="C7" s="144"/>
      <c r="D7" s="87">
        <f>324441.78+2</f>
        <v>324443.78000000003</v>
      </c>
      <c r="E7" s="9"/>
      <c r="F7" s="7">
        <v>336467.94</v>
      </c>
      <c r="I7" s="79"/>
      <c r="J7" s="50"/>
    </row>
    <row r="8" spans="1:12" ht="15.75" customHeight="1" x14ac:dyDescent="0.3">
      <c r="A8" s="144" t="s">
        <v>156</v>
      </c>
      <c r="B8" s="144"/>
      <c r="C8" s="144"/>
      <c r="D8" s="100">
        <v>1516585.35</v>
      </c>
      <c r="E8" s="100"/>
      <c r="F8" s="100">
        <v>1281461</v>
      </c>
      <c r="I8" s="79"/>
      <c r="J8" s="50"/>
    </row>
    <row r="9" spans="1:12" ht="15.75" customHeight="1" x14ac:dyDescent="0.3">
      <c r="A9" s="3" t="s">
        <v>181</v>
      </c>
      <c r="B9" s="3"/>
      <c r="C9" s="3"/>
      <c r="D9" s="100">
        <v>35110</v>
      </c>
      <c r="E9" s="100"/>
      <c r="F9" s="100">
        <v>116933</v>
      </c>
      <c r="I9" s="79"/>
      <c r="J9" s="50"/>
    </row>
    <row r="10" spans="1:12" ht="15.75" customHeight="1" x14ac:dyDescent="0.3">
      <c r="A10" s="144" t="s">
        <v>3</v>
      </c>
      <c r="B10" s="144"/>
      <c r="C10" s="144"/>
      <c r="D10" s="5">
        <v>1519195.39</v>
      </c>
      <c r="E10" s="9"/>
      <c r="F10" s="7">
        <v>1728210.76</v>
      </c>
      <c r="H10" s="74" t="s">
        <v>164</v>
      </c>
      <c r="I10" s="79"/>
      <c r="J10" s="73"/>
      <c r="K10" s="45"/>
      <c r="L10" s="45"/>
    </row>
    <row r="11" spans="1:12" ht="15.75" customHeight="1" x14ac:dyDescent="0.3">
      <c r="A11" s="144" t="s">
        <v>4</v>
      </c>
      <c r="B11" s="144"/>
      <c r="C11" s="144"/>
      <c r="D11" s="77">
        <v>45114.5</v>
      </c>
      <c r="E11" s="9"/>
      <c r="F11" s="7">
        <v>51838.52</v>
      </c>
      <c r="I11" s="79"/>
    </row>
    <row r="12" spans="1:12" ht="15.75" customHeight="1" x14ac:dyDescent="0.3">
      <c r="A12" s="144" t="s">
        <v>5</v>
      </c>
      <c r="B12" s="144"/>
      <c r="C12" s="144"/>
      <c r="D12" s="5">
        <v>5045282.4800000004</v>
      </c>
      <c r="E12" s="9"/>
      <c r="F12" s="7">
        <v>1152623.51</v>
      </c>
      <c r="I12" s="79"/>
      <c r="J12" s="78"/>
    </row>
    <row r="13" spans="1:12" ht="15.75" customHeight="1" x14ac:dyDescent="0.3">
      <c r="A13" s="144" t="s">
        <v>19</v>
      </c>
      <c r="B13" s="144"/>
      <c r="C13" s="144"/>
      <c r="D13" s="77">
        <v>566095.86</v>
      </c>
      <c r="E13" s="9"/>
      <c r="F13" s="7">
        <v>521070</v>
      </c>
      <c r="I13" s="79"/>
      <c r="J13" s="45"/>
      <c r="K13" s="45"/>
    </row>
    <row r="14" spans="1:12" ht="15.75" customHeight="1" x14ac:dyDescent="0.3">
      <c r="A14" s="144" t="s">
        <v>6</v>
      </c>
      <c r="B14" s="144"/>
      <c r="C14" s="144"/>
      <c r="D14" s="5">
        <v>1795891.58</v>
      </c>
      <c r="E14" s="9"/>
      <c r="F14" s="7">
        <v>1898403.91</v>
      </c>
      <c r="I14" s="143"/>
      <c r="J14" s="45"/>
    </row>
    <row r="15" spans="1:12" ht="15.75" customHeight="1" thickBot="1" x14ac:dyDescent="0.35">
      <c r="A15" s="144" t="s">
        <v>7</v>
      </c>
      <c r="B15" s="144"/>
      <c r="C15" s="144"/>
      <c r="D15" s="6">
        <f>SUM(D7:D14)</f>
        <v>10847718.939999999</v>
      </c>
      <c r="E15" s="9"/>
      <c r="F15" s="6">
        <f>SUM(F7:F14)</f>
        <v>7087008.6400000006</v>
      </c>
      <c r="I15" s="143"/>
      <c r="J15" s="50"/>
    </row>
    <row r="16" spans="1:12" ht="15.75" customHeight="1" thickTop="1" x14ac:dyDescent="0.3">
      <c r="D16" s="7"/>
      <c r="E16" s="13"/>
      <c r="F16" s="7"/>
    </row>
    <row r="17" spans="1:9" ht="15.75" customHeight="1" x14ac:dyDescent="0.3">
      <c r="A17" s="144" t="s">
        <v>8</v>
      </c>
      <c r="B17" s="144"/>
      <c r="C17" s="144"/>
      <c r="D17" s="7"/>
      <c r="E17" s="13"/>
      <c r="F17" s="7"/>
    </row>
    <row r="18" spans="1:9" ht="15.75" customHeight="1" x14ac:dyDescent="0.3">
      <c r="A18" s="144" t="s">
        <v>9</v>
      </c>
      <c r="B18" s="144"/>
      <c r="C18" s="144"/>
      <c r="D18" s="7"/>
      <c r="E18" s="13"/>
      <c r="F18" s="7"/>
    </row>
    <row r="19" spans="1:9" ht="15.75" customHeight="1" x14ac:dyDescent="0.3">
      <c r="A19" s="144" t="s">
        <v>160</v>
      </c>
      <c r="B19" s="144"/>
      <c r="C19" s="144"/>
      <c r="D19" s="82">
        <v>19735</v>
      </c>
      <c r="E19" s="9"/>
      <c r="F19" s="7">
        <v>78966.23</v>
      </c>
    </row>
    <row r="20" spans="1:9" ht="15.75" customHeight="1" x14ac:dyDescent="0.3">
      <c r="A20" s="145" t="s">
        <v>170</v>
      </c>
      <c r="B20" s="145"/>
      <c r="C20" s="145"/>
      <c r="D20" s="82">
        <v>42848</v>
      </c>
      <c r="E20" s="9"/>
      <c r="F20" s="7">
        <v>62569.08</v>
      </c>
    </row>
    <row r="21" spans="1:9" ht="15.75" customHeight="1" x14ac:dyDescent="0.3">
      <c r="A21" s="144" t="s">
        <v>10</v>
      </c>
      <c r="B21" s="144"/>
      <c r="C21" s="144"/>
      <c r="D21" s="8">
        <f>SUM(D19:D20)</f>
        <v>62583</v>
      </c>
      <c r="E21" s="9"/>
      <c r="F21" s="8">
        <f>SUM(F19:F20)</f>
        <v>141535.31</v>
      </c>
      <c r="G21" s="9"/>
    </row>
    <row r="22" spans="1:9" ht="15.75" customHeight="1" x14ac:dyDescent="0.3">
      <c r="D22" s="7"/>
      <c r="E22" s="13"/>
      <c r="F22" s="7"/>
      <c r="I22" s="45"/>
    </row>
    <row r="23" spans="1:9" ht="15.75" customHeight="1" x14ac:dyDescent="0.3">
      <c r="A23" s="144" t="s">
        <v>11</v>
      </c>
      <c r="B23" s="144"/>
      <c r="C23" s="144"/>
      <c r="D23" s="7"/>
      <c r="E23" s="13"/>
      <c r="F23" s="7"/>
    </row>
    <row r="24" spans="1:9" ht="15.75" customHeight="1" x14ac:dyDescent="0.3">
      <c r="A24" s="144" t="s">
        <v>12</v>
      </c>
      <c r="B24" s="144"/>
      <c r="C24" s="144"/>
      <c r="D24" s="7"/>
      <c r="E24" s="13"/>
      <c r="F24" s="7"/>
    </row>
    <row r="25" spans="1:9" ht="15.75" customHeight="1" x14ac:dyDescent="0.3">
      <c r="A25" s="144" t="s">
        <v>13</v>
      </c>
      <c r="B25" s="144"/>
      <c r="C25" s="144"/>
      <c r="D25" s="5">
        <f>'Stmt Activities'!D38-'Financial Position'!D26-'Financial Position'!D27</f>
        <v>2292563.0599999996</v>
      </c>
      <c r="E25" s="9"/>
      <c r="F25" s="7">
        <f>3479553-F26+179</f>
        <v>1581328.09</v>
      </c>
      <c r="I25" s="45"/>
    </row>
    <row r="26" spans="1:9" ht="15.75" customHeight="1" x14ac:dyDescent="0.3">
      <c r="A26" s="3" t="s">
        <v>20</v>
      </c>
      <c r="B26" s="3"/>
      <c r="C26" s="3"/>
      <c r="D26" s="5">
        <f>D14</f>
        <v>1795891.58</v>
      </c>
      <c r="E26" s="9"/>
      <c r="F26" s="7">
        <f>F14</f>
        <v>1898403.91</v>
      </c>
      <c r="I26" s="45"/>
    </row>
    <row r="27" spans="1:9" ht="15.75" customHeight="1" x14ac:dyDescent="0.3">
      <c r="A27" s="144" t="s">
        <v>14</v>
      </c>
      <c r="B27" s="144"/>
      <c r="C27" s="144"/>
      <c r="D27" s="5">
        <v>500000</v>
      </c>
      <c r="E27" s="9"/>
      <c r="F27" s="7">
        <v>500000</v>
      </c>
    </row>
    <row r="28" spans="1:9" ht="15.75" customHeight="1" x14ac:dyDescent="0.3">
      <c r="A28" s="144" t="s">
        <v>15</v>
      </c>
      <c r="B28" s="144"/>
      <c r="C28" s="144"/>
      <c r="D28" s="8">
        <f>SUM(D25:D27)</f>
        <v>4588454.6399999997</v>
      </c>
      <c r="E28" s="9"/>
      <c r="F28" s="8">
        <f t="shared" ref="F28" si="0">SUM(F25:F27)</f>
        <v>3979732</v>
      </c>
      <c r="H28" s="80"/>
      <c r="I28" s="45"/>
    </row>
    <row r="29" spans="1:9" ht="15.75" customHeight="1" x14ac:dyDescent="0.3">
      <c r="D29" s="7"/>
      <c r="E29" s="13"/>
      <c r="F29" s="7"/>
    </row>
    <row r="30" spans="1:9" ht="15.75" customHeight="1" x14ac:dyDescent="0.3">
      <c r="A30" s="144" t="s">
        <v>16</v>
      </c>
      <c r="B30" s="144"/>
      <c r="C30" s="144"/>
      <c r="D30" s="5">
        <f>'Stmt Activities'!E38</f>
        <v>6196681.0800000001</v>
      </c>
      <c r="E30" s="9"/>
      <c r="F30" s="7">
        <f>2965919-177</f>
        <v>2965742</v>
      </c>
      <c r="I30" s="45"/>
    </row>
    <row r="31" spans="1:9" ht="15.75" customHeight="1" x14ac:dyDescent="0.3">
      <c r="A31" s="144" t="s">
        <v>17</v>
      </c>
      <c r="B31" s="144"/>
      <c r="C31" s="144"/>
      <c r="D31" s="8">
        <f>D28+D30</f>
        <v>10785135.719999999</v>
      </c>
      <c r="E31" s="9"/>
      <c r="F31" s="8">
        <f>F28+F30</f>
        <v>6945474</v>
      </c>
      <c r="I31" s="45"/>
    </row>
    <row r="32" spans="1:9" ht="15.75" customHeight="1" x14ac:dyDescent="0.3">
      <c r="D32" s="7"/>
      <c r="E32" s="13"/>
      <c r="F32" s="7"/>
    </row>
    <row r="33" spans="1:6" ht="15.75" customHeight="1" thickBot="1" x14ac:dyDescent="0.35">
      <c r="A33" s="144" t="s">
        <v>18</v>
      </c>
      <c r="B33" s="144"/>
      <c r="C33" s="144"/>
      <c r="D33" s="6">
        <f>D21+D31</f>
        <v>10847718.719999999</v>
      </c>
      <c r="E33" s="9"/>
      <c r="F33" s="6">
        <f>F21+F31</f>
        <v>7087009.3099999996</v>
      </c>
    </row>
    <row r="34" spans="1:6" ht="15.75" customHeight="1" thickTop="1" x14ac:dyDescent="0.3"/>
    <row r="35" spans="1:6" ht="13.35" customHeight="1" x14ac:dyDescent="0.3">
      <c r="D35" s="45"/>
    </row>
    <row r="36" spans="1:6" ht="13.35" customHeight="1" x14ac:dyDescent="0.3">
      <c r="D36" s="45"/>
    </row>
    <row r="37" spans="1:6" ht="13.35" customHeight="1" x14ac:dyDescent="0.3"/>
    <row r="38" spans="1:6" ht="13.35" customHeight="1" x14ac:dyDescent="0.3">
      <c r="F38" s="45"/>
    </row>
    <row r="39" spans="1:6" ht="13.35" customHeight="1" x14ac:dyDescent="0.3"/>
    <row r="40" spans="1:6" ht="13.35" customHeight="1" x14ac:dyDescent="0.3"/>
    <row r="41" spans="1:6" ht="13.35" customHeight="1" x14ac:dyDescent="0.3"/>
  </sheetData>
  <mergeCells count="27">
    <mergeCell ref="A1:F1"/>
    <mergeCell ref="A2:F2"/>
    <mergeCell ref="A3:F3"/>
    <mergeCell ref="A4:F4"/>
    <mergeCell ref="B5:C5"/>
    <mergeCell ref="A12:C12"/>
    <mergeCell ref="A13:C13"/>
    <mergeCell ref="A6:C6"/>
    <mergeCell ref="A7:C7"/>
    <mergeCell ref="A10:C10"/>
    <mergeCell ref="A11:C11"/>
    <mergeCell ref="A8:C8"/>
    <mergeCell ref="A21:C21"/>
    <mergeCell ref="A23:C23"/>
    <mergeCell ref="A24:C24"/>
    <mergeCell ref="A25:C25"/>
    <mergeCell ref="A14:C14"/>
    <mergeCell ref="A15:C15"/>
    <mergeCell ref="A17:C17"/>
    <mergeCell ref="A18:C18"/>
    <mergeCell ref="A19:C19"/>
    <mergeCell ref="A20:C20"/>
    <mergeCell ref="A27:C27"/>
    <mergeCell ref="A28:C28"/>
    <mergeCell ref="A30:C30"/>
    <mergeCell ref="A31:C31"/>
    <mergeCell ref="A33:C33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52"/>
  <sheetViews>
    <sheetView topLeftCell="A5" zoomScale="90" zoomScaleNormal="90" workbookViewId="0">
      <selection activeCell="A12" sqref="A12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4" customWidth="1"/>
    <col min="8" max="8" width="14.5703125" style="18" customWidth="1"/>
    <col min="9" max="9" width="9.140625" style="58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3" bestFit="1" customWidth="1"/>
    <col min="18" max="16384" width="9.140625" style="18"/>
  </cols>
  <sheetData>
    <row r="1" spans="1:13" ht="19.899999999999999" customHeight="1" x14ac:dyDescent="0.3">
      <c r="A1" s="150" t="s">
        <v>0</v>
      </c>
      <c r="B1" s="150"/>
      <c r="C1" s="150"/>
      <c r="D1" s="150"/>
      <c r="E1" s="150"/>
      <c r="F1" s="42"/>
    </row>
    <row r="2" spans="1:13" ht="19.899999999999999" customHeight="1" x14ac:dyDescent="0.3">
      <c r="A2" s="150" t="s">
        <v>42</v>
      </c>
      <c r="B2" s="150"/>
      <c r="C2" s="150"/>
      <c r="D2" s="150"/>
      <c r="E2" s="150"/>
      <c r="F2" s="42"/>
    </row>
    <row r="3" spans="1:13" ht="16.899999999999999" customHeight="1" x14ac:dyDescent="0.3">
      <c r="A3" s="150" t="s">
        <v>191</v>
      </c>
      <c r="B3" s="150"/>
      <c r="C3" s="150"/>
      <c r="D3" s="150"/>
      <c r="E3" s="150"/>
      <c r="F3" s="42"/>
    </row>
    <row r="4" spans="1:13" ht="15.75" customHeight="1" x14ac:dyDescent="0.3">
      <c r="A4" s="151"/>
      <c r="B4" s="151"/>
      <c r="C4" s="151"/>
      <c r="D4" s="151"/>
      <c r="E4" s="151"/>
      <c r="F4" s="43"/>
    </row>
    <row r="5" spans="1:13" ht="48.75" customHeight="1" x14ac:dyDescent="0.3">
      <c r="A5" s="19"/>
      <c r="B5" s="152"/>
      <c r="C5" s="152"/>
      <c r="D5" s="20" t="s">
        <v>121</v>
      </c>
      <c r="E5" s="20" t="s">
        <v>43</v>
      </c>
      <c r="F5" s="55" t="s">
        <v>165</v>
      </c>
      <c r="H5" s="75" t="s">
        <v>149</v>
      </c>
    </row>
    <row r="6" spans="1:13" ht="15.75" customHeight="1" x14ac:dyDescent="0.3">
      <c r="A6" s="149" t="s">
        <v>41</v>
      </c>
      <c r="B6" s="149"/>
      <c r="C6" s="149"/>
      <c r="D6" s="14"/>
      <c r="E6" s="14"/>
      <c r="F6" s="14"/>
    </row>
    <row r="7" spans="1:13" ht="15.75" customHeight="1" x14ac:dyDescent="0.3">
      <c r="A7" s="149" t="s">
        <v>40</v>
      </c>
      <c r="B7" s="149"/>
      <c r="C7" s="149"/>
      <c r="D7" s="5">
        <v>145250</v>
      </c>
      <c r="E7" s="5">
        <v>3597422.84</v>
      </c>
      <c r="F7" s="5">
        <f>SUM(D7:E7)</f>
        <v>3742672.84</v>
      </c>
      <c r="H7" s="7">
        <v>1900348.18</v>
      </c>
      <c r="I7" s="58" t="s">
        <v>162</v>
      </c>
      <c r="J7" s="54"/>
      <c r="L7" s="54"/>
    </row>
    <row r="8" spans="1:13" ht="15.75" customHeight="1" x14ac:dyDescent="0.3">
      <c r="A8" s="149" t="s">
        <v>39</v>
      </c>
      <c r="B8" s="149"/>
      <c r="C8" s="149"/>
      <c r="D8" s="5">
        <v>0</v>
      </c>
      <c r="E8" s="5">
        <v>11332.81</v>
      </c>
      <c r="F8" s="5">
        <f t="shared" ref="F8:F15" si="0">SUM(D8:E8)</f>
        <v>11332.81</v>
      </c>
      <c r="H8" s="7">
        <v>13540.46</v>
      </c>
      <c r="J8" s="54"/>
      <c r="K8" s="54"/>
    </row>
    <row r="9" spans="1:13" ht="15.75" customHeight="1" x14ac:dyDescent="0.3">
      <c r="A9" s="149" t="s">
        <v>38</v>
      </c>
      <c r="B9" s="149"/>
      <c r="C9" s="149"/>
      <c r="D9" s="5">
        <v>1294752.6200000001</v>
      </c>
      <c r="E9" s="5">
        <v>1389897.51</v>
      </c>
      <c r="F9" s="5">
        <f t="shared" si="0"/>
        <v>2684650.13</v>
      </c>
      <c r="H9" s="81">
        <v>1353750.89</v>
      </c>
      <c r="I9" s="58" t="s">
        <v>192</v>
      </c>
      <c r="J9" s="54"/>
      <c r="M9" s="54"/>
    </row>
    <row r="10" spans="1:13" ht="15.75" customHeight="1" x14ac:dyDescent="0.3">
      <c r="A10" s="149" t="s">
        <v>37</v>
      </c>
      <c r="B10" s="149"/>
      <c r="C10" s="149"/>
      <c r="D10" s="5">
        <v>108281.96</v>
      </c>
      <c r="E10" s="5">
        <v>147071.99</v>
      </c>
      <c r="F10" s="5">
        <f t="shared" si="0"/>
        <v>255353.95</v>
      </c>
      <c r="H10" s="81">
        <v>333879.42</v>
      </c>
      <c r="J10" s="54"/>
    </row>
    <row r="11" spans="1:13" ht="15.75" customHeight="1" x14ac:dyDescent="0.3">
      <c r="A11" s="153" t="s">
        <v>136</v>
      </c>
      <c r="B11" s="153"/>
      <c r="C11" s="153"/>
      <c r="D11" s="5">
        <v>126163.66</v>
      </c>
      <c r="E11" s="5">
        <v>0</v>
      </c>
      <c r="F11" s="5">
        <f t="shared" si="0"/>
        <v>126163.66</v>
      </c>
      <c r="H11" s="7">
        <v>596391</v>
      </c>
      <c r="J11" s="54"/>
    </row>
    <row r="12" spans="1:13" ht="15.75" customHeight="1" x14ac:dyDescent="0.3">
      <c r="A12" s="115" t="s">
        <v>182</v>
      </c>
      <c r="B12" s="114"/>
      <c r="C12" s="114"/>
      <c r="D12" s="5"/>
      <c r="E12" s="5">
        <v>-209015.37</v>
      </c>
      <c r="F12" s="5">
        <f t="shared" si="0"/>
        <v>-209015.37</v>
      </c>
      <c r="H12" s="7">
        <v>-374947.25</v>
      </c>
      <c r="J12" s="54"/>
    </row>
    <row r="13" spans="1:13" ht="15.75" customHeight="1" x14ac:dyDescent="0.3">
      <c r="A13" s="154" t="s">
        <v>167</v>
      </c>
      <c r="B13" s="154"/>
      <c r="C13" s="154"/>
      <c r="D13" s="5">
        <v>84690</v>
      </c>
      <c r="E13" s="5"/>
      <c r="F13" s="5">
        <f t="shared" si="0"/>
        <v>84690</v>
      </c>
      <c r="H13" s="7">
        <v>110587.12</v>
      </c>
      <c r="J13" s="54"/>
    </row>
    <row r="14" spans="1:13" ht="15.75" customHeight="1" x14ac:dyDescent="0.3">
      <c r="A14" s="149" t="s">
        <v>147</v>
      </c>
      <c r="B14" s="149"/>
      <c r="C14" s="149"/>
      <c r="D14" s="5">
        <f>447512.63-342654.97</f>
        <v>104857.66000000003</v>
      </c>
      <c r="E14" s="5">
        <v>0</v>
      </c>
      <c r="F14" s="5">
        <f t="shared" si="0"/>
        <v>104857.66000000003</v>
      </c>
      <c r="G14" s="49"/>
      <c r="H14" s="81">
        <f>147895.81-69737</f>
        <v>78158.81</v>
      </c>
      <c r="J14" s="54"/>
      <c r="L14" s="54"/>
    </row>
    <row r="15" spans="1:13" ht="15.75" customHeight="1" x14ac:dyDescent="0.3">
      <c r="A15" s="149" t="s">
        <v>36</v>
      </c>
      <c r="B15" s="149"/>
      <c r="C15" s="149"/>
      <c r="D15" s="77">
        <v>1705770.7</v>
      </c>
      <c r="E15" s="77">
        <f>-D15</f>
        <v>-1705770.7</v>
      </c>
      <c r="F15" s="5">
        <f t="shared" si="0"/>
        <v>0</v>
      </c>
      <c r="G15" s="53"/>
      <c r="H15" s="7"/>
      <c r="J15" s="54"/>
      <c r="L15" s="54"/>
    </row>
    <row r="16" spans="1:13" ht="15.75" customHeight="1" x14ac:dyDescent="0.3">
      <c r="A16" s="149" t="s">
        <v>35</v>
      </c>
      <c r="B16" s="149"/>
      <c r="C16" s="149"/>
      <c r="D16" s="8">
        <f>SUM(D7:D15)</f>
        <v>3569766.5999999996</v>
      </c>
      <c r="E16" s="8">
        <f>SUM(E7:E15)</f>
        <v>3230939.08</v>
      </c>
      <c r="F16" s="44">
        <f t="shared" ref="F16" si="1">SUM(D16:E16)</f>
        <v>6800705.6799999997</v>
      </c>
      <c r="G16" s="52"/>
      <c r="H16" s="57">
        <f>SUM(H7:H15)</f>
        <v>4011708.6299999994</v>
      </c>
      <c r="J16" s="54"/>
      <c r="K16" s="54"/>
      <c r="L16" s="54"/>
    </row>
    <row r="17" spans="1:11" ht="15.75" customHeight="1" x14ac:dyDescent="0.3">
      <c r="D17" s="7"/>
      <c r="E17" s="7"/>
      <c r="F17" s="7"/>
      <c r="H17" s="7"/>
      <c r="J17" s="54"/>
    </row>
    <row r="18" spans="1:11" ht="15.75" customHeight="1" x14ac:dyDescent="0.3">
      <c r="A18" s="149" t="s">
        <v>34</v>
      </c>
      <c r="B18" s="149"/>
      <c r="C18" s="149"/>
      <c r="D18" s="7"/>
      <c r="E18" s="7"/>
      <c r="F18" s="7"/>
      <c r="H18" s="7"/>
      <c r="J18" s="54"/>
    </row>
    <row r="19" spans="1:11" ht="15.75" customHeight="1" x14ac:dyDescent="0.3">
      <c r="A19" s="149" t="s">
        <v>33</v>
      </c>
      <c r="B19" s="149"/>
      <c r="C19" s="149"/>
      <c r="D19" s="7"/>
      <c r="E19" s="7"/>
      <c r="F19" s="7"/>
      <c r="H19" s="7"/>
      <c r="J19" s="54"/>
    </row>
    <row r="20" spans="1:11" ht="15.75" customHeight="1" x14ac:dyDescent="0.3">
      <c r="A20" s="149" t="s">
        <v>32</v>
      </c>
      <c r="B20" s="149"/>
      <c r="C20" s="149"/>
      <c r="D20" s="5">
        <f>'Functional Exp'!B38</f>
        <v>1543315.31</v>
      </c>
      <c r="E20" s="5"/>
      <c r="F20" s="5">
        <f>SUM(D20:E20)</f>
        <v>1543315.31</v>
      </c>
      <c r="H20" s="7">
        <v>2008647.53</v>
      </c>
      <c r="J20" s="73"/>
      <c r="K20" s="54"/>
    </row>
    <row r="21" spans="1:11" ht="15.75" customHeight="1" x14ac:dyDescent="0.3">
      <c r="A21" s="149" t="s">
        <v>31</v>
      </c>
      <c r="B21" s="149"/>
      <c r="C21" s="149"/>
      <c r="D21" s="5">
        <f>'Functional Exp'!C38</f>
        <v>764931.6100000001</v>
      </c>
      <c r="E21" s="5"/>
      <c r="F21" s="5">
        <f t="shared" ref="F21:F28" si="2">SUM(D21:E21)</f>
        <v>764931.6100000001</v>
      </c>
      <c r="H21" s="7">
        <v>1304174.1200000001</v>
      </c>
      <c r="J21" s="73"/>
    </row>
    <row r="22" spans="1:11" ht="15.75" customHeight="1" x14ac:dyDescent="0.3">
      <c r="A22" s="149" t="s">
        <v>30</v>
      </c>
      <c r="B22" s="149"/>
      <c r="C22" s="149"/>
      <c r="D22" s="5">
        <f>'Functional Exp'!D38</f>
        <v>50654.47</v>
      </c>
      <c r="E22" s="5"/>
      <c r="F22" s="5">
        <f t="shared" si="2"/>
        <v>50654.47</v>
      </c>
      <c r="H22" s="7">
        <v>615215.52</v>
      </c>
      <c r="J22" s="73"/>
    </row>
    <row r="23" spans="1:11" ht="15.75" customHeight="1" x14ac:dyDescent="0.3">
      <c r="A23" s="149" t="s">
        <v>29</v>
      </c>
      <c r="B23" s="149"/>
      <c r="C23" s="149"/>
      <c r="D23" s="8">
        <f>SUM(D20:D22)</f>
        <v>2358901.39</v>
      </c>
      <c r="E23" s="8">
        <v>0</v>
      </c>
      <c r="F23" s="44">
        <f t="shared" si="2"/>
        <v>2358901.39</v>
      </c>
      <c r="H23" s="57">
        <f>SUM(H20:H22)</f>
        <v>3928037.1700000004</v>
      </c>
    </row>
    <row r="24" spans="1:11" ht="15.75" customHeight="1" x14ac:dyDescent="0.3">
      <c r="A24" s="149" t="s">
        <v>28</v>
      </c>
      <c r="B24" s="149"/>
      <c r="C24" s="149"/>
      <c r="D24" s="7"/>
      <c r="E24" s="7"/>
      <c r="F24" s="5"/>
      <c r="H24" s="7"/>
      <c r="K24" s="54"/>
    </row>
    <row r="25" spans="1:11" ht="15.75" customHeight="1" x14ac:dyDescent="0.3">
      <c r="A25" s="149" t="s">
        <v>27</v>
      </c>
      <c r="B25" s="149"/>
      <c r="C25" s="149"/>
      <c r="D25" s="5">
        <f>'Functional Exp'!F38</f>
        <v>165591.69000000003</v>
      </c>
      <c r="E25" s="5"/>
      <c r="F25" s="5">
        <f t="shared" si="2"/>
        <v>165591.69000000003</v>
      </c>
      <c r="H25" s="7">
        <v>185445.1</v>
      </c>
      <c r="J25" s="54"/>
    </row>
    <row r="26" spans="1:11" ht="15.75" customHeight="1" x14ac:dyDescent="0.3">
      <c r="A26" s="149" t="s">
        <v>26</v>
      </c>
      <c r="B26" s="149"/>
      <c r="C26" s="149"/>
      <c r="D26" s="5">
        <f>'Functional Exp'!G38</f>
        <v>779205.85</v>
      </c>
      <c r="E26" s="5"/>
      <c r="F26" s="5">
        <f t="shared" si="2"/>
        <v>779205.85</v>
      </c>
      <c r="H26" s="7">
        <v>792758.15</v>
      </c>
    </row>
    <row r="27" spans="1:11" ht="15.75" customHeight="1" x14ac:dyDescent="0.3">
      <c r="A27" s="149" t="s">
        <v>25</v>
      </c>
      <c r="B27" s="149"/>
      <c r="C27" s="149"/>
      <c r="D27" s="8">
        <f>SUM(D25:D26)</f>
        <v>944797.54</v>
      </c>
      <c r="E27" s="8">
        <v>0</v>
      </c>
      <c r="F27" s="44">
        <f t="shared" si="2"/>
        <v>944797.54</v>
      </c>
      <c r="H27" s="57">
        <f>SUM(H25:H26)</f>
        <v>978203.25</v>
      </c>
    </row>
    <row r="28" spans="1:11" ht="15.75" customHeight="1" x14ac:dyDescent="0.3">
      <c r="A28" s="149" t="s">
        <v>24</v>
      </c>
      <c r="B28" s="149"/>
      <c r="C28" s="149"/>
      <c r="D28" s="15">
        <f>D23+D27</f>
        <v>3303698.93</v>
      </c>
      <c r="E28" s="15">
        <v>0</v>
      </c>
      <c r="F28" s="44">
        <f t="shared" si="2"/>
        <v>3303698.93</v>
      </c>
      <c r="G28" s="49"/>
      <c r="H28" s="57">
        <f>H23+H27</f>
        <v>4906240.42</v>
      </c>
      <c r="J28" s="51"/>
      <c r="K28" s="54"/>
    </row>
    <row r="29" spans="1:11" ht="15.75" customHeight="1" x14ac:dyDescent="0.3">
      <c r="D29" s="7"/>
      <c r="E29" s="7"/>
      <c r="F29" s="5"/>
      <c r="H29" s="7"/>
    </row>
    <row r="30" spans="1:11" ht="15.75" customHeight="1" x14ac:dyDescent="0.3">
      <c r="A30" s="18" t="s">
        <v>171</v>
      </c>
      <c r="D30" s="7">
        <v>342654.97</v>
      </c>
      <c r="E30" s="7"/>
      <c r="F30" s="5">
        <f>D30+E30</f>
        <v>342654.97</v>
      </c>
      <c r="H30" s="81">
        <v>69737</v>
      </c>
    </row>
    <row r="31" spans="1:11" ht="15.75" customHeight="1" x14ac:dyDescent="0.3">
      <c r="D31" s="7"/>
      <c r="E31" s="7"/>
      <c r="F31" s="5"/>
      <c r="H31" s="7"/>
      <c r="J31" s="54"/>
    </row>
    <row r="32" spans="1:11" ht="15.75" customHeight="1" x14ac:dyDescent="0.3">
      <c r="A32" s="150" t="s">
        <v>23</v>
      </c>
      <c r="B32" s="150"/>
      <c r="C32" s="150"/>
      <c r="D32" s="16">
        <v>3979732</v>
      </c>
      <c r="E32" s="16">
        <v>2965742</v>
      </c>
      <c r="F32" s="16">
        <f>D32+E32</f>
        <v>6945474</v>
      </c>
      <c r="H32" s="59">
        <f>9326655.58+5</f>
        <v>9326660.5800000001</v>
      </c>
    </row>
    <row r="33" spans="1:11" ht="15.75" customHeight="1" x14ac:dyDescent="0.3">
      <c r="D33" s="7"/>
      <c r="E33" s="7"/>
      <c r="F33" s="7"/>
      <c r="H33" s="59"/>
    </row>
    <row r="34" spans="1:11" ht="15.75" customHeight="1" x14ac:dyDescent="0.3">
      <c r="A34" s="150" t="s">
        <v>22</v>
      </c>
      <c r="B34" s="150"/>
      <c r="C34" s="150"/>
      <c r="D34" s="16">
        <f>D16-D28+D30</f>
        <v>608722.63999999943</v>
      </c>
      <c r="E34" s="16">
        <f t="shared" ref="E34:F34" si="3">E16-E28+E30</f>
        <v>3230939.08</v>
      </c>
      <c r="F34" s="16">
        <f t="shared" si="3"/>
        <v>3839661.7199999997</v>
      </c>
      <c r="H34" s="59">
        <f>H16-H28+H30</f>
        <v>-824794.7900000005</v>
      </c>
      <c r="J34" s="54"/>
      <c r="K34" s="54"/>
    </row>
    <row r="35" spans="1:11" ht="15.75" customHeight="1" x14ac:dyDescent="0.3">
      <c r="A35" s="42"/>
      <c r="B35" s="42"/>
      <c r="C35" s="42"/>
      <c r="D35" s="16"/>
      <c r="E35" s="16"/>
      <c r="F35" s="16"/>
      <c r="H35" s="59"/>
      <c r="J35" s="54"/>
      <c r="K35" s="54"/>
    </row>
    <row r="36" spans="1:11" ht="15.75" customHeight="1" x14ac:dyDescent="0.3">
      <c r="A36" s="42" t="s">
        <v>193</v>
      </c>
      <c r="B36" s="42"/>
      <c r="C36" s="42"/>
      <c r="D36" s="16"/>
      <c r="E36" s="16"/>
      <c r="F36" s="16"/>
      <c r="H36" s="59">
        <v>-1556392</v>
      </c>
      <c r="J36" s="54"/>
      <c r="K36" s="54"/>
    </row>
    <row r="37" spans="1:11" ht="15.75" customHeight="1" x14ac:dyDescent="0.3">
      <c r="D37" s="7"/>
      <c r="E37" s="7"/>
      <c r="F37" s="7"/>
      <c r="H37" s="59"/>
    </row>
    <row r="38" spans="1:11" ht="15.75" customHeight="1" thickBot="1" x14ac:dyDescent="0.35">
      <c r="A38" s="150" t="s">
        <v>21</v>
      </c>
      <c r="B38" s="150"/>
      <c r="C38" s="150"/>
      <c r="D38" s="17">
        <f>D32+D34</f>
        <v>4588454.6399999997</v>
      </c>
      <c r="E38" s="17">
        <f>E32+E34</f>
        <v>6196681.0800000001</v>
      </c>
      <c r="F38" s="17">
        <f>F32+F34</f>
        <v>10785135.719999999</v>
      </c>
      <c r="H38" s="60">
        <f>H32+H34+H36</f>
        <v>6945473.7899999991</v>
      </c>
    </row>
    <row r="39" spans="1:11" ht="15.75" customHeight="1" thickTop="1" x14ac:dyDescent="0.3"/>
    <row r="40" spans="1:11" ht="13.35" customHeight="1" x14ac:dyDescent="0.3">
      <c r="H40" s="54"/>
    </row>
    <row r="41" spans="1:11" ht="13.35" customHeight="1" x14ac:dyDescent="0.3">
      <c r="D41" s="51"/>
      <c r="E41" s="51"/>
      <c r="F41" s="51"/>
      <c r="H41" s="51"/>
    </row>
    <row r="42" spans="1:11" ht="13.35" customHeight="1" x14ac:dyDescent="0.3">
      <c r="F42" s="54"/>
    </row>
    <row r="43" spans="1:11" ht="13.35" customHeight="1" x14ac:dyDescent="0.3">
      <c r="F43" s="54"/>
    </row>
    <row r="44" spans="1:11" ht="13.35" customHeight="1" x14ac:dyDescent="0.3">
      <c r="D44" s="54"/>
    </row>
    <row r="45" spans="1:11" ht="13.35" customHeight="1" x14ac:dyDescent="0.3">
      <c r="F45" s="54"/>
    </row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  <row r="50" ht="13.35" customHeight="1" x14ac:dyDescent="0.3"/>
    <row r="51" ht="13.35" customHeight="1" x14ac:dyDescent="0.3"/>
    <row r="52" ht="13.35" customHeight="1" x14ac:dyDescent="0.3"/>
  </sheetData>
  <mergeCells count="29">
    <mergeCell ref="A27:C27"/>
    <mergeCell ref="A38:C38"/>
    <mergeCell ref="A28:C28"/>
    <mergeCell ref="A32:C32"/>
    <mergeCell ref="A34:C34"/>
    <mergeCell ref="A22:C22"/>
    <mergeCell ref="A23:C23"/>
    <mergeCell ref="A24:C24"/>
    <mergeCell ref="A25:C25"/>
    <mergeCell ref="A26:C26"/>
    <mergeCell ref="A16:C16"/>
    <mergeCell ref="A18:C18"/>
    <mergeCell ref="A19:C19"/>
    <mergeCell ref="A20:C20"/>
    <mergeCell ref="A21:C21"/>
    <mergeCell ref="A9:C9"/>
    <mergeCell ref="A10:C10"/>
    <mergeCell ref="A14:C14"/>
    <mergeCell ref="A15:C15"/>
    <mergeCell ref="A11:C11"/>
    <mergeCell ref="A13:C13"/>
    <mergeCell ref="A6:C6"/>
    <mergeCell ref="A7:C7"/>
    <mergeCell ref="A8:C8"/>
    <mergeCell ref="A1:E1"/>
    <mergeCell ref="A2:E2"/>
    <mergeCell ref="A3:E3"/>
    <mergeCell ref="A4:E4"/>
    <mergeCell ref="B5:C5"/>
  </mergeCells>
  <pageMargins left="0.25" right="0.25" top="0.25" bottom="0.25" header="0.5" footer="0.5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6"/>
  <sheetViews>
    <sheetView topLeftCell="A10" zoomScale="90" zoomScaleNormal="90" workbookViewId="0">
      <selection activeCell="R35" sqref="R35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1" customWidth="1"/>
    <col min="12" max="12" width="14.42578125" style="14" customWidth="1"/>
    <col min="13" max="13" width="9.140625" style="86"/>
    <col min="14" max="16384" width="9.140625" style="18"/>
  </cols>
  <sheetData>
    <row r="1" spans="1:13" s="46" customFormat="1" ht="19.5" customHeight="1" x14ac:dyDescent="0.25">
      <c r="A1" s="46" t="s">
        <v>123</v>
      </c>
      <c r="B1" s="150"/>
      <c r="C1" s="150"/>
      <c r="D1" s="150"/>
      <c r="E1" s="150"/>
      <c r="F1" s="150"/>
      <c r="G1" s="150"/>
      <c r="H1" s="150"/>
      <c r="I1" s="150"/>
      <c r="K1" s="83"/>
      <c r="L1" s="94"/>
      <c r="M1" s="85"/>
    </row>
    <row r="2" spans="1:13" s="46" customFormat="1" ht="19.5" customHeight="1" x14ac:dyDescent="0.25">
      <c r="A2" s="46" t="s">
        <v>124</v>
      </c>
      <c r="B2" s="150"/>
      <c r="C2" s="150"/>
      <c r="D2" s="150"/>
      <c r="E2" s="150"/>
      <c r="F2" s="150"/>
      <c r="G2" s="150"/>
      <c r="H2" s="150"/>
      <c r="I2" s="150"/>
      <c r="K2" s="83"/>
      <c r="L2" s="94"/>
      <c r="M2" s="85"/>
    </row>
    <row r="3" spans="1:13" s="46" customFormat="1" ht="19.5" customHeight="1" x14ac:dyDescent="0.25">
      <c r="A3" s="46" t="s">
        <v>177</v>
      </c>
      <c r="B3" s="150"/>
      <c r="C3" s="150"/>
      <c r="D3" s="150"/>
      <c r="E3" s="150"/>
      <c r="F3" s="150"/>
      <c r="G3" s="150"/>
      <c r="H3" s="150"/>
      <c r="I3" s="150"/>
      <c r="K3" s="83"/>
      <c r="L3" s="94"/>
      <c r="M3" s="85"/>
    </row>
    <row r="4" spans="1:13" ht="15.75" customHeight="1" x14ac:dyDescent="0.3">
      <c r="A4" s="56"/>
      <c r="B4" s="151"/>
      <c r="C4" s="151"/>
      <c r="D4" s="151"/>
      <c r="E4" s="151"/>
      <c r="F4" s="151"/>
      <c r="G4" s="151"/>
      <c r="H4" s="151"/>
      <c r="I4" s="151"/>
    </row>
    <row r="5" spans="1:13" ht="15.75" customHeight="1" x14ac:dyDescent="0.3">
      <c r="B5" s="155" t="s">
        <v>75</v>
      </c>
      <c r="C5" s="155"/>
      <c r="D5" s="155"/>
      <c r="E5" s="155"/>
      <c r="F5" s="155" t="s">
        <v>74</v>
      </c>
      <c r="G5" s="155"/>
      <c r="H5" s="155"/>
    </row>
    <row r="6" spans="1:13" ht="53.25" customHeight="1" x14ac:dyDescent="0.3">
      <c r="B6" s="20" t="s">
        <v>73</v>
      </c>
      <c r="C6" s="20" t="s">
        <v>72</v>
      </c>
      <c r="D6" s="20" t="s">
        <v>71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103"/>
      <c r="K6" s="84" t="s">
        <v>150</v>
      </c>
      <c r="L6" s="96" t="s">
        <v>151</v>
      </c>
    </row>
    <row r="7" spans="1:13" ht="15.75" customHeight="1" x14ac:dyDescent="0.3">
      <c r="J7" s="103"/>
    </row>
    <row r="8" spans="1:13" ht="15.75" customHeight="1" x14ac:dyDescent="0.3">
      <c r="A8" s="18" t="s">
        <v>65</v>
      </c>
      <c r="B8" s="5">
        <v>1025136.9917256086</v>
      </c>
      <c r="C8" s="5">
        <v>275420.1193092927</v>
      </c>
      <c r="D8" s="5">
        <v>6542.0158495242249</v>
      </c>
      <c r="E8" s="5">
        <f>SUM(B8:D8)</f>
        <v>1307099.1268844255</v>
      </c>
      <c r="F8" s="5">
        <v>95162.562831171657</v>
      </c>
      <c r="G8" s="5">
        <v>287181.84028440277</v>
      </c>
      <c r="H8" s="5">
        <f>SUM(F8:G8)</f>
        <v>382344.40311557445</v>
      </c>
      <c r="I8" s="5">
        <f>E8+H8</f>
        <v>1689443.53</v>
      </c>
      <c r="J8" s="103"/>
      <c r="K8" s="7">
        <v>2354806.35</v>
      </c>
      <c r="L8" s="95">
        <f>I8-K8</f>
        <v>-665362.82000000007</v>
      </c>
      <c r="M8" s="86" t="s">
        <v>175</v>
      </c>
    </row>
    <row r="9" spans="1:13" ht="15.75" customHeight="1" x14ac:dyDescent="0.3">
      <c r="A9" s="18" t="s">
        <v>64</v>
      </c>
      <c r="B9" s="5">
        <v>54177.386497474654</v>
      </c>
      <c r="C9" s="5">
        <v>56438.915969467773</v>
      </c>
      <c r="D9" s="5">
        <v>35047.586229334142</v>
      </c>
      <c r="E9" s="5">
        <f t="shared" ref="E9:E37" si="0">SUM(B9:D9)</f>
        <v>145663.88869627658</v>
      </c>
      <c r="F9" s="5">
        <v>26694.802143442863</v>
      </c>
      <c r="G9" s="5">
        <v>77516.139160280567</v>
      </c>
      <c r="H9" s="5">
        <f t="shared" ref="H9:H37" si="1">SUM(F9:G9)</f>
        <v>104210.94130372343</v>
      </c>
      <c r="I9" s="5">
        <f t="shared" ref="I9:I37" si="2">E9+H9</f>
        <v>249874.83000000002</v>
      </c>
      <c r="J9" s="104"/>
      <c r="K9" s="7">
        <v>581220.89</v>
      </c>
      <c r="L9" s="95">
        <f t="shared" ref="L9:L37" si="3">I9-K9</f>
        <v>-331346.06</v>
      </c>
      <c r="M9" s="86" t="s">
        <v>157</v>
      </c>
    </row>
    <row r="10" spans="1:13" ht="15.75" customHeight="1" x14ac:dyDescent="0.3">
      <c r="A10" s="18" t="s">
        <v>63</v>
      </c>
      <c r="B10" s="5">
        <v>48405.744431386629</v>
      </c>
      <c r="C10" s="5">
        <v>13020.074421914584</v>
      </c>
      <c r="D10" s="5">
        <v>504.4198541962042</v>
      </c>
      <c r="E10" s="5">
        <f t="shared" si="0"/>
        <v>61930.238707497418</v>
      </c>
      <c r="F10" s="5">
        <v>4609.5301103911179</v>
      </c>
      <c r="G10" s="5">
        <v>13467.741182111462</v>
      </c>
      <c r="H10" s="5">
        <f t="shared" si="1"/>
        <v>18077.271292502581</v>
      </c>
      <c r="I10" s="5">
        <f t="shared" si="2"/>
        <v>80007.509999999995</v>
      </c>
      <c r="J10" s="103"/>
      <c r="K10" s="7">
        <v>104432.58</v>
      </c>
      <c r="L10" s="95">
        <f t="shared" si="3"/>
        <v>-24425.070000000007</v>
      </c>
    </row>
    <row r="11" spans="1:13" ht="15.75" customHeight="1" x14ac:dyDescent="0.3">
      <c r="A11" s="18" t="s">
        <v>62</v>
      </c>
      <c r="B11" s="5">
        <v>145354.73000000001</v>
      </c>
      <c r="C11" s="5">
        <v>0</v>
      </c>
      <c r="D11" s="5">
        <v>0</v>
      </c>
      <c r="E11" s="5">
        <f t="shared" si="0"/>
        <v>145354.73000000001</v>
      </c>
      <c r="F11" s="5">
        <v>0</v>
      </c>
      <c r="G11" s="5">
        <v>0</v>
      </c>
      <c r="H11" s="5">
        <f t="shared" si="1"/>
        <v>0</v>
      </c>
      <c r="I11" s="5">
        <f t="shared" si="2"/>
        <v>145354.73000000001</v>
      </c>
      <c r="J11" s="103"/>
      <c r="K11" s="7">
        <v>166762.17000000001</v>
      </c>
      <c r="L11" s="95">
        <f t="shared" si="3"/>
        <v>-21407.440000000002</v>
      </c>
    </row>
    <row r="12" spans="1:13" ht="15.75" customHeight="1" x14ac:dyDescent="0.3">
      <c r="A12" s="18" t="s">
        <v>61</v>
      </c>
      <c r="B12" s="5">
        <v>0</v>
      </c>
      <c r="C12" s="5">
        <v>307602.90999999997</v>
      </c>
      <c r="D12" s="5">
        <v>0</v>
      </c>
      <c r="E12" s="5">
        <f t="shared" si="0"/>
        <v>307602.90999999997</v>
      </c>
      <c r="F12" s="5">
        <v>0</v>
      </c>
      <c r="G12" s="5">
        <v>0</v>
      </c>
      <c r="H12" s="5">
        <f t="shared" si="1"/>
        <v>0</v>
      </c>
      <c r="I12" s="5">
        <f t="shared" si="2"/>
        <v>307602.90999999997</v>
      </c>
      <c r="J12" s="103"/>
      <c r="K12" s="7">
        <v>580579.31999999995</v>
      </c>
      <c r="L12" s="95">
        <f t="shared" si="3"/>
        <v>-272976.40999999997</v>
      </c>
      <c r="M12" s="86" t="s">
        <v>159</v>
      </c>
    </row>
    <row r="13" spans="1:13" ht="15.75" customHeight="1" x14ac:dyDescent="0.3">
      <c r="A13" s="18" t="s">
        <v>129</v>
      </c>
      <c r="B13" s="5">
        <v>893.9</v>
      </c>
      <c r="C13" s="5">
        <v>13761.55</v>
      </c>
      <c r="D13" s="5">
        <v>0</v>
      </c>
      <c r="E13" s="5">
        <f t="shared" si="0"/>
        <v>14655.449999999999</v>
      </c>
      <c r="F13" s="5">
        <v>0</v>
      </c>
      <c r="G13" s="5">
        <v>97.52</v>
      </c>
      <c r="H13" s="5">
        <f t="shared" si="1"/>
        <v>97.52</v>
      </c>
      <c r="I13" s="5">
        <f t="shared" si="2"/>
        <v>14752.97</v>
      </c>
      <c r="J13" s="103"/>
      <c r="K13" s="7">
        <v>15750</v>
      </c>
      <c r="L13" s="95">
        <f t="shared" si="3"/>
        <v>-997.03000000000065</v>
      </c>
    </row>
    <row r="14" spans="1:13" ht="15.75" customHeight="1" x14ac:dyDescent="0.3">
      <c r="A14" s="18" t="s">
        <v>60</v>
      </c>
      <c r="B14" s="5">
        <v>11242.924099945985</v>
      </c>
      <c r="C14" s="5">
        <v>8454.7657291781088</v>
      </c>
      <c r="D14" s="5">
        <v>6.298351671511937E-2</v>
      </c>
      <c r="E14" s="5">
        <f t="shared" si="0"/>
        <v>19697.752812640811</v>
      </c>
      <c r="F14" s="5">
        <v>0.57556104174229739</v>
      </c>
      <c r="G14" s="5">
        <v>3507.2416263174455</v>
      </c>
      <c r="H14" s="5">
        <f t="shared" si="1"/>
        <v>3507.8171873591878</v>
      </c>
      <c r="I14" s="5">
        <f t="shared" si="2"/>
        <v>23205.57</v>
      </c>
      <c r="J14" s="103"/>
      <c r="K14" s="7">
        <v>275974.53000000003</v>
      </c>
      <c r="L14" s="95">
        <f t="shared" si="3"/>
        <v>-252768.96000000002</v>
      </c>
      <c r="M14" s="86" t="s">
        <v>158</v>
      </c>
    </row>
    <row r="15" spans="1:13" ht="15.75" customHeight="1" x14ac:dyDescent="0.3">
      <c r="A15" s="18" t="s">
        <v>59</v>
      </c>
      <c r="B15" s="5">
        <v>17776.036624253971</v>
      </c>
      <c r="C15" s="5">
        <v>13952.993533452949</v>
      </c>
      <c r="D15" s="5">
        <v>607.34719474652263</v>
      </c>
      <c r="E15" s="5">
        <f t="shared" si="0"/>
        <v>32336.377352453441</v>
      </c>
      <c r="F15" s="5">
        <v>4583.368833656551</v>
      </c>
      <c r="G15" s="77">
        <v>240502.05381389</v>
      </c>
      <c r="H15" s="5">
        <f t="shared" si="1"/>
        <v>245085.42264754654</v>
      </c>
      <c r="I15" s="5">
        <f t="shared" si="2"/>
        <v>277421.8</v>
      </c>
      <c r="J15" s="103"/>
      <c r="K15" s="7">
        <v>255923.45</v>
      </c>
      <c r="L15" s="95">
        <f t="shared" si="3"/>
        <v>21498.349999999977</v>
      </c>
    </row>
    <row r="16" spans="1:13" ht="15.75" customHeight="1" x14ac:dyDescent="0.3">
      <c r="A16" s="18" t="s">
        <v>58</v>
      </c>
      <c r="B16" s="5">
        <v>23130.59</v>
      </c>
      <c r="C16" s="5">
        <v>0</v>
      </c>
      <c r="D16" s="5">
        <v>714.99</v>
      </c>
      <c r="E16" s="5">
        <f t="shared" si="0"/>
        <v>23845.58</v>
      </c>
      <c r="F16" s="5">
        <v>0</v>
      </c>
      <c r="G16" s="5">
        <v>235</v>
      </c>
      <c r="H16" s="5">
        <f t="shared" si="1"/>
        <v>235</v>
      </c>
      <c r="I16" s="5">
        <f t="shared" si="2"/>
        <v>24080.58</v>
      </c>
      <c r="J16" s="103"/>
      <c r="K16" s="7">
        <v>19189.18</v>
      </c>
      <c r="L16" s="95">
        <f t="shared" si="3"/>
        <v>4891.4000000000015</v>
      </c>
      <c r="M16" s="86" t="s">
        <v>153</v>
      </c>
    </row>
    <row r="17" spans="1:13" ht="15.75" customHeight="1" x14ac:dyDescent="0.3">
      <c r="A17" s="18" t="s">
        <v>78</v>
      </c>
      <c r="B17" s="5">
        <v>0</v>
      </c>
      <c r="C17" s="5">
        <v>750</v>
      </c>
      <c r="D17" s="5">
        <v>0</v>
      </c>
      <c r="E17" s="5">
        <f t="shared" si="0"/>
        <v>750</v>
      </c>
      <c r="F17" s="5">
        <v>0</v>
      </c>
      <c r="G17" s="5">
        <v>0</v>
      </c>
      <c r="H17" s="5">
        <f t="shared" si="1"/>
        <v>0</v>
      </c>
      <c r="I17" s="5">
        <f t="shared" si="2"/>
        <v>750</v>
      </c>
      <c r="J17" s="103"/>
      <c r="K17" s="7">
        <v>1250</v>
      </c>
      <c r="L17" s="95">
        <f t="shared" si="3"/>
        <v>-500</v>
      </c>
    </row>
    <row r="18" spans="1:13" ht="15.75" customHeight="1" x14ac:dyDescent="0.3">
      <c r="A18" s="18" t="s">
        <v>57</v>
      </c>
      <c r="B18" s="5">
        <v>4162.8599999999997</v>
      </c>
      <c r="C18" s="5">
        <v>2269.2199999999998</v>
      </c>
      <c r="D18" s="5">
        <v>0</v>
      </c>
      <c r="E18" s="5">
        <f t="shared" si="0"/>
        <v>6432.08</v>
      </c>
      <c r="F18" s="5">
        <v>0</v>
      </c>
      <c r="G18" s="5">
        <v>1772.9</v>
      </c>
      <c r="H18" s="5">
        <f t="shared" si="1"/>
        <v>1772.9</v>
      </c>
      <c r="I18" s="5">
        <f t="shared" si="2"/>
        <v>8204.98</v>
      </c>
      <c r="J18" s="103"/>
      <c r="K18" s="7">
        <v>6082.77</v>
      </c>
      <c r="L18" s="95"/>
    </row>
    <row r="19" spans="1:13" ht="15.75" customHeight="1" x14ac:dyDescent="0.3">
      <c r="A19" s="18" t="s">
        <v>56</v>
      </c>
      <c r="B19" s="5">
        <v>0</v>
      </c>
      <c r="C19" s="5">
        <v>0</v>
      </c>
      <c r="D19" s="5">
        <v>0</v>
      </c>
      <c r="E19" s="5">
        <f t="shared" si="0"/>
        <v>0</v>
      </c>
      <c r="F19" s="5">
        <v>0</v>
      </c>
      <c r="G19" s="5">
        <v>100</v>
      </c>
      <c r="H19" s="5">
        <f t="shared" si="1"/>
        <v>100</v>
      </c>
      <c r="I19" s="5">
        <f t="shared" si="2"/>
        <v>100</v>
      </c>
      <c r="J19" s="103"/>
      <c r="K19" s="7">
        <v>491.94</v>
      </c>
      <c r="L19" s="95">
        <f t="shared" si="3"/>
        <v>-391.94</v>
      </c>
    </row>
    <row r="20" spans="1:13" ht="15.75" customHeight="1" x14ac:dyDescent="0.3">
      <c r="A20" s="18" t="s">
        <v>55</v>
      </c>
      <c r="B20" s="5">
        <v>0</v>
      </c>
      <c r="C20" s="5">
        <v>103.34</v>
      </c>
      <c r="D20" s="5">
        <v>0</v>
      </c>
      <c r="E20" s="5">
        <f t="shared" si="0"/>
        <v>103.34</v>
      </c>
      <c r="F20" s="5">
        <v>0</v>
      </c>
      <c r="G20" s="5">
        <v>2173.02</v>
      </c>
      <c r="H20" s="5">
        <f t="shared" si="1"/>
        <v>2173.02</v>
      </c>
      <c r="I20" s="5">
        <f t="shared" si="2"/>
        <v>2276.36</v>
      </c>
      <c r="J20" s="103"/>
      <c r="K20" s="7">
        <v>1587.4</v>
      </c>
      <c r="L20" s="95">
        <f t="shared" si="3"/>
        <v>688.96</v>
      </c>
    </row>
    <row r="21" spans="1:13" ht="15.75" customHeight="1" x14ac:dyDescent="0.3">
      <c r="A21" s="18" t="s">
        <v>77</v>
      </c>
      <c r="B21" s="5">
        <v>2086.752537406388</v>
      </c>
      <c r="C21" s="5">
        <v>1624.7212402475122</v>
      </c>
      <c r="D21" s="5">
        <v>2507.1564153977311</v>
      </c>
      <c r="E21" s="5">
        <f t="shared" si="0"/>
        <v>6218.6301930516311</v>
      </c>
      <c r="F21" s="5">
        <v>65.397331179347518</v>
      </c>
      <c r="G21" s="5">
        <v>876.07247576902114</v>
      </c>
      <c r="H21" s="5">
        <f t="shared" si="1"/>
        <v>941.46980694836861</v>
      </c>
      <c r="I21" s="5">
        <f t="shared" si="2"/>
        <v>7160.0999999999995</v>
      </c>
      <c r="J21" s="103"/>
      <c r="K21" s="7">
        <v>8761.14</v>
      </c>
      <c r="L21" s="95">
        <f t="shared" si="3"/>
        <v>-1601.04</v>
      </c>
    </row>
    <row r="22" spans="1:13" ht="15.75" customHeight="1" x14ac:dyDescent="0.3">
      <c r="A22" s="18" t="s">
        <v>122</v>
      </c>
      <c r="B22" s="5">
        <v>5165.9953486454106</v>
      </c>
      <c r="C22" s="5">
        <v>570.2025764931268</v>
      </c>
      <c r="D22" s="5">
        <v>2725.297086616566</v>
      </c>
      <c r="E22" s="5">
        <f t="shared" si="0"/>
        <v>8461.4950117551034</v>
      </c>
      <c r="F22" s="5">
        <v>348.32432472229146</v>
      </c>
      <c r="G22" s="5">
        <v>1316.0506635226054</v>
      </c>
      <c r="H22" s="5">
        <f t="shared" si="1"/>
        <v>1664.3749882448969</v>
      </c>
      <c r="I22" s="5">
        <f t="shared" si="2"/>
        <v>10125.870000000001</v>
      </c>
      <c r="J22" s="103"/>
      <c r="K22" s="7">
        <v>5284.37</v>
      </c>
      <c r="L22" s="95">
        <f t="shared" si="3"/>
        <v>4841.5000000000009</v>
      </c>
    </row>
    <row r="23" spans="1:13" ht="15.75" customHeight="1" x14ac:dyDescent="0.3">
      <c r="A23" s="18" t="s">
        <v>54</v>
      </c>
      <c r="B23" s="5">
        <v>3588.439090421331</v>
      </c>
      <c r="C23" s="5">
        <v>655.74072381046369</v>
      </c>
      <c r="D23" s="5">
        <v>10.118973406182841</v>
      </c>
      <c r="E23" s="5">
        <f t="shared" si="0"/>
        <v>4254.2987876379775</v>
      </c>
      <c r="F23" s="5">
        <v>92.470017216855581</v>
      </c>
      <c r="G23" s="5">
        <v>1208.5811951451669</v>
      </c>
      <c r="H23" s="5">
        <f t="shared" si="1"/>
        <v>1301.0512123620224</v>
      </c>
      <c r="I23" s="5">
        <f t="shared" si="2"/>
        <v>5555.35</v>
      </c>
      <c r="J23" s="103"/>
      <c r="K23" s="7">
        <v>10015.040000000001</v>
      </c>
      <c r="L23" s="95">
        <f t="shared" si="3"/>
        <v>-4459.6900000000005</v>
      </c>
      <c r="M23" s="86" t="s">
        <v>154</v>
      </c>
    </row>
    <row r="24" spans="1:13" ht="15.75" customHeight="1" x14ac:dyDescent="0.3">
      <c r="A24" s="18" t="s">
        <v>53</v>
      </c>
      <c r="B24" s="5">
        <v>16548.577236795645</v>
      </c>
      <c r="C24" s="5">
        <v>1667.3716044750101</v>
      </c>
      <c r="D24" s="5">
        <v>64.596815222850282</v>
      </c>
      <c r="E24" s="5">
        <f t="shared" si="0"/>
        <v>18280.545656493505</v>
      </c>
      <c r="F24" s="5">
        <v>1729.6138160137125</v>
      </c>
      <c r="G24" s="5">
        <v>1789.9605274927817</v>
      </c>
      <c r="H24" s="5">
        <f t="shared" si="1"/>
        <v>3519.5743435064942</v>
      </c>
      <c r="I24" s="5">
        <f t="shared" si="2"/>
        <v>21800.12</v>
      </c>
      <c r="J24" s="103"/>
      <c r="K24" s="7">
        <v>20954.830000000002</v>
      </c>
      <c r="L24" s="95">
        <f t="shared" si="3"/>
        <v>845.28999999999724</v>
      </c>
    </row>
    <row r="25" spans="1:13" ht="15.75" customHeight="1" x14ac:dyDescent="0.3">
      <c r="A25" s="18" t="s">
        <v>52</v>
      </c>
      <c r="B25" s="5">
        <v>12560.662163127174</v>
      </c>
      <c r="C25" s="5">
        <v>3378.5402553669114</v>
      </c>
      <c r="D25" s="5">
        <v>130.8904026032121</v>
      </c>
      <c r="E25" s="5">
        <f t="shared" si="0"/>
        <v>16070.092821097298</v>
      </c>
      <c r="F25" s="5">
        <v>1196.1132119237316</v>
      </c>
      <c r="G25" s="5">
        <v>3494.7039669789706</v>
      </c>
      <c r="H25" s="5">
        <f t="shared" si="1"/>
        <v>4690.8171789027019</v>
      </c>
      <c r="I25" s="5">
        <f t="shared" si="2"/>
        <v>20760.91</v>
      </c>
      <c r="J25" s="103"/>
      <c r="K25" s="7">
        <v>22272.13</v>
      </c>
      <c r="L25" s="95">
        <f t="shared" si="3"/>
        <v>-1511.2200000000012</v>
      </c>
    </row>
    <row r="26" spans="1:13" ht="15.75" customHeight="1" x14ac:dyDescent="0.3">
      <c r="A26" s="18" t="s">
        <v>51</v>
      </c>
      <c r="B26" s="5">
        <v>0</v>
      </c>
      <c r="C26" s="5">
        <v>0</v>
      </c>
      <c r="D26" s="5">
        <v>0</v>
      </c>
      <c r="E26" s="5">
        <f t="shared" si="0"/>
        <v>0</v>
      </c>
      <c r="F26" s="5">
        <v>0</v>
      </c>
      <c r="G26" s="5">
        <v>0</v>
      </c>
      <c r="H26" s="5">
        <f t="shared" si="1"/>
        <v>0</v>
      </c>
      <c r="I26" s="5">
        <f t="shared" si="2"/>
        <v>0</v>
      </c>
      <c r="J26" s="103"/>
      <c r="K26" s="7">
        <v>4404.1400000000003</v>
      </c>
      <c r="L26" s="95">
        <f t="shared" si="3"/>
        <v>-4404.1400000000003</v>
      </c>
    </row>
    <row r="27" spans="1:13" ht="15.75" customHeight="1" x14ac:dyDescent="0.3">
      <c r="A27" s="18" t="s">
        <v>50</v>
      </c>
      <c r="B27" s="5">
        <v>20385.496736744179</v>
      </c>
      <c r="C27" s="5">
        <v>5483.2476549623198</v>
      </c>
      <c r="D27" s="5">
        <v>587.43035124149901</v>
      </c>
      <c r="E27" s="5">
        <f t="shared" si="0"/>
        <v>26456.174742947998</v>
      </c>
      <c r="F27" s="5">
        <v>1941.2481334007321</v>
      </c>
      <c r="G27" s="5">
        <v>5671.7771236512672</v>
      </c>
      <c r="H27" s="5">
        <f t="shared" si="1"/>
        <v>7613.0252570519988</v>
      </c>
      <c r="I27" s="5">
        <f t="shared" si="2"/>
        <v>34069.199999999997</v>
      </c>
      <c r="J27" s="103"/>
      <c r="K27" s="7">
        <v>34934.89</v>
      </c>
      <c r="L27" s="95">
        <f t="shared" si="3"/>
        <v>-865.69000000000233</v>
      </c>
    </row>
    <row r="28" spans="1:13" ht="15.75" customHeight="1" x14ac:dyDescent="0.3">
      <c r="A28" s="18" t="s">
        <v>49</v>
      </c>
      <c r="B28" s="5">
        <v>29405.020130130542</v>
      </c>
      <c r="C28" s="5">
        <v>5630.6704033639035</v>
      </c>
      <c r="D28" s="5">
        <v>97.231229493267648</v>
      </c>
      <c r="E28" s="5">
        <f t="shared" si="0"/>
        <v>35132.921762987717</v>
      </c>
      <c r="F28" s="5">
        <v>18188.526247115627</v>
      </c>
      <c r="G28" s="5">
        <v>23584.021989896657</v>
      </c>
      <c r="H28" s="5">
        <f t="shared" si="1"/>
        <v>41772.548237012285</v>
      </c>
      <c r="I28" s="5">
        <f t="shared" si="2"/>
        <v>76905.47</v>
      </c>
      <c r="J28" s="103"/>
      <c r="K28" s="7">
        <v>62395.89</v>
      </c>
      <c r="L28" s="95">
        <f t="shared" si="3"/>
        <v>14509.580000000002</v>
      </c>
    </row>
    <row r="29" spans="1:13" ht="15.75" customHeight="1" x14ac:dyDescent="0.3">
      <c r="A29" s="18" t="s">
        <v>48</v>
      </c>
      <c r="B29" s="5">
        <v>261.21126748406158</v>
      </c>
      <c r="C29" s="5">
        <v>1794.2242605564747</v>
      </c>
      <c r="D29" s="5">
        <v>2.5485942739659513</v>
      </c>
      <c r="E29" s="5">
        <f t="shared" si="0"/>
        <v>2057.9841223145022</v>
      </c>
      <c r="F29" s="5">
        <v>436.15976932071135</v>
      </c>
      <c r="G29" s="5">
        <v>9411.8061083647863</v>
      </c>
      <c r="H29" s="5">
        <f t="shared" si="1"/>
        <v>9847.9658776854976</v>
      </c>
      <c r="I29" s="5">
        <f t="shared" si="2"/>
        <v>11905.95</v>
      </c>
      <c r="J29" s="103"/>
      <c r="K29" s="7">
        <v>13559.25</v>
      </c>
      <c r="L29" s="95">
        <f t="shared" si="3"/>
        <v>-1653.2999999999993</v>
      </c>
    </row>
    <row r="30" spans="1:13" ht="15.75" customHeight="1" x14ac:dyDescent="0.3">
      <c r="A30" s="18" t="s">
        <v>47</v>
      </c>
      <c r="B30" s="5">
        <v>27912.71232683467</v>
      </c>
      <c r="C30" s="5">
        <v>7507.9021319054909</v>
      </c>
      <c r="D30" s="5">
        <v>290.86891333899496</v>
      </c>
      <c r="E30" s="5">
        <f t="shared" si="0"/>
        <v>35711.48337207915</v>
      </c>
      <c r="F30" s="5">
        <v>2658.0417147722405</v>
      </c>
      <c r="G30" s="5">
        <v>7766.0449131486048</v>
      </c>
      <c r="H30" s="5">
        <f t="shared" si="1"/>
        <v>10424.086627920846</v>
      </c>
      <c r="I30" s="5">
        <f t="shared" si="2"/>
        <v>46135.569999999992</v>
      </c>
      <c r="J30" s="103"/>
      <c r="K30" s="7">
        <v>45469.4</v>
      </c>
      <c r="L30" s="95">
        <f t="shared" si="3"/>
        <v>666.16999999999098</v>
      </c>
    </row>
    <row r="31" spans="1:13" ht="15.75" customHeight="1" x14ac:dyDescent="0.3">
      <c r="A31" s="1" t="s">
        <v>146</v>
      </c>
      <c r="B31" s="5">
        <v>0</v>
      </c>
      <c r="C31" s="5">
        <v>0</v>
      </c>
      <c r="D31" s="5">
        <v>0</v>
      </c>
      <c r="E31" s="5">
        <f t="shared" si="0"/>
        <v>0</v>
      </c>
      <c r="F31" s="5">
        <v>70</v>
      </c>
      <c r="G31" s="5">
        <v>358.75</v>
      </c>
      <c r="H31" s="5">
        <f t="shared" si="1"/>
        <v>428.75</v>
      </c>
      <c r="I31" s="5">
        <f t="shared" si="2"/>
        <v>428.75</v>
      </c>
      <c r="J31" s="103"/>
      <c r="K31" s="7">
        <v>428.75</v>
      </c>
      <c r="L31" s="95">
        <f t="shared" si="3"/>
        <v>0</v>
      </c>
    </row>
    <row r="32" spans="1:13" ht="15.75" customHeight="1" x14ac:dyDescent="0.3">
      <c r="A32" s="18" t="s">
        <v>46</v>
      </c>
      <c r="B32" s="5">
        <v>10563.943227217074</v>
      </c>
      <c r="C32" s="5">
        <v>2841.4670329512128</v>
      </c>
      <c r="D32" s="5">
        <v>110.08327141756905</v>
      </c>
      <c r="E32" s="5">
        <f t="shared" si="0"/>
        <v>13515.493531585855</v>
      </c>
      <c r="F32" s="5">
        <v>1005.9718110387197</v>
      </c>
      <c r="G32" s="5">
        <v>2939.1646573754247</v>
      </c>
      <c r="H32" s="5">
        <f t="shared" si="1"/>
        <v>3945.1364684141445</v>
      </c>
      <c r="I32" s="5">
        <f t="shared" si="2"/>
        <v>17460.629999999997</v>
      </c>
      <c r="J32" s="103"/>
      <c r="K32" s="7">
        <v>28379.93</v>
      </c>
      <c r="L32" s="95">
        <f t="shared" si="3"/>
        <v>-10919.300000000003</v>
      </c>
    </row>
    <row r="33" spans="1:13" ht="15.75" customHeight="1" x14ac:dyDescent="0.3">
      <c r="A33" s="18" t="s">
        <v>45</v>
      </c>
      <c r="B33" s="5">
        <v>699.95396491604129</v>
      </c>
      <c r="C33" s="5">
        <v>188.27213220610693</v>
      </c>
      <c r="D33" s="5">
        <v>7.2939829988043945</v>
      </c>
      <c r="E33" s="5">
        <f t="shared" si="0"/>
        <v>895.52008012095257</v>
      </c>
      <c r="F33" s="5">
        <v>66.654462503753621</v>
      </c>
      <c r="G33" s="5">
        <v>3979.6354573752938</v>
      </c>
      <c r="H33" s="5">
        <f t="shared" si="1"/>
        <v>4046.2899198790474</v>
      </c>
      <c r="I33" s="5">
        <f t="shared" si="2"/>
        <v>4941.8099999999995</v>
      </c>
      <c r="J33" s="103"/>
      <c r="K33" s="7">
        <v>6760.1</v>
      </c>
      <c r="L33" s="95">
        <f t="shared" si="3"/>
        <v>-1818.2900000000009</v>
      </c>
    </row>
    <row r="34" spans="1:13" ht="15.75" customHeight="1" x14ac:dyDescent="0.3">
      <c r="A34" s="18" t="s">
        <v>44</v>
      </c>
      <c r="B34" s="9">
        <v>4290.1665876166071</v>
      </c>
      <c r="C34" s="9">
        <v>1273.8863959236342</v>
      </c>
      <c r="D34" s="9">
        <v>24.945255412983972</v>
      </c>
      <c r="E34" s="5">
        <f t="shared" si="0"/>
        <v>5588.9982389532252</v>
      </c>
      <c r="F34" s="9">
        <v>532.07674076068497</v>
      </c>
      <c r="G34" s="9">
        <v>24281.055020286087</v>
      </c>
      <c r="H34" s="5">
        <f t="shared" si="1"/>
        <v>24813.13176104677</v>
      </c>
      <c r="I34" s="5">
        <f t="shared" si="2"/>
        <v>30402.129999999997</v>
      </c>
      <c r="J34" s="103"/>
      <c r="K34" s="7">
        <v>38674.980000000003</v>
      </c>
      <c r="L34" s="95">
        <f t="shared" si="3"/>
        <v>-8272.8500000000058</v>
      </c>
    </row>
    <row r="35" spans="1:13" ht="15.75" customHeight="1" x14ac:dyDescent="0.3">
      <c r="A35" s="18" t="s">
        <v>76</v>
      </c>
      <c r="B35" s="7">
        <v>17543.717684071191</v>
      </c>
      <c r="C35" s="7">
        <v>23859.063613717022</v>
      </c>
      <c r="D35" s="7">
        <v>33.281587242470124</v>
      </c>
      <c r="E35" s="5">
        <f t="shared" si="0"/>
        <v>41436.062885030682</v>
      </c>
      <c r="F35" s="7">
        <v>304.13647924354319</v>
      </c>
      <c r="G35" s="7">
        <v>47968.770635725778</v>
      </c>
      <c r="H35" s="5">
        <f t="shared" si="1"/>
        <v>48272.907114969319</v>
      </c>
      <c r="I35" s="5">
        <f t="shared" si="2"/>
        <v>89708.97</v>
      </c>
      <c r="J35" s="103"/>
      <c r="K35" s="7">
        <v>103423.78</v>
      </c>
      <c r="L35" s="95">
        <f t="shared" si="3"/>
        <v>-13714.809999999998</v>
      </c>
    </row>
    <row r="36" spans="1:13" ht="15.75" customHeight="1" x14ac:dyDescent="0.3">
      <c r="A36" s="1" t="s">
        <v>138</v>
      </c>
      <c r="B36" s="7">
        <v>0</v>
      </c>
      <c r="C36" s="7">
        <v>0</v>
      </c>
      <c r="D36" s="7">
        <v>0</v>
      </c>
      <c r="E36" s="5">
        <f t="shared" si="0"/>
        <v>0</v>
      </c>
      <c r="F36" s="7">
        <v>0</v>
      </c>
      <c r="G36" s="7">
        <v>750</v>
      </c>
      <c r="H36" s="5">
        <f t="shared" si="1"/>
        <v>750</v>
      </c>
      <c r="I36" s="5">
        <f t="shared" si="2"/>
        <v>750</v>
      </c>
      <c r="J36" s="103"/>
      <c r="K36" s="7">
        <v>32005.66</v>
      </c>
      <c r="L36" s="95">
        <f t="shared" si="3"/>
        <v>-31255.66</v>
      </c>
    </row>
    <row r="37" spans="1:13" ht="18" customHeight="1" x14ac:dyDescent="0.3">
      <c r="A37" s="18" t="s">
        <v>125</v>
      </c>
      <c r="B37" s="108">
        <v>62021.498319919825</v>
      </c>
      <c r="C37" s="108">
        <v>16682.41101071471</v>
      </c>
      <c r="D37" s="108">
        <v>646.30501001609935</v>
      </c>
      <c r="E37" s="5">
        <f t="shared" si="0"/>
        <v>79350.214340650637</v>
      </c>
      <c r="F37" s="108">
        <v>5906.1164610841006</v>
      </c>
      <c r="G37" s="108">
        <v>17255.999198265268</v>
      </c>
      <c r="H37" s="5">
        <f t="shared" si="1"/>
        <v>23162.115659349369</v>
      </c>
      <c r="I37" s="5">
        <f t="shared" si="2"/>
        <v>102512.33</v>
      </c>
      <c r="J37" s="109"/>
      <c r="K37" s="108">
        <v>104465.56</v>
      </c>
      <c r="L37" s="110">
        <f t="shared" si="3"/>
        <v>-1953.2299999999959</v>
      </c>
    </row>
    <row r="38" spans="1:13" s="46" customFormat="1" ht="15" x14ac:dyDescent="0.25">
      <c r="A38" s="46" t="s">
        <v>79</v>
      </c>
      <c r="B38" s="111">
        <f t="shared" ref="B38:I38" si="4">SUM(B8:B37)</f>
        <v>1543315.31</v>
      </c>
      <c r="C38" s="111">
        <f t="shared" si="4"/>
        <v>764931.6100000001</v>
      </c>
      <c r="D38" s="111">
        <f t="shared" si="4"/>
        <v>50654.47</v>
      </c>
      <c r="E38" s="111">
        <f t="shared" si="4"/>
        <v>2358901.3899999997</v>
      </c>
      <c r="F38" s="111">
        <f t="shared" si="4"/>
        <v>165591.69000000003</v>
      </c>
      <c r="G38" s="111">
        <f t="shared" si="4"/>
        <v>779205.85</v>
      </c>
      <c r="H38" s="111">
        <f t="shared" si="4"/>
        <v>944797.53999999992</v>
      </c>
      <c r="I38" s="111">
        <f t="shared" si="4"/>
        <v>3303698.9300000011</v>
      </c>
      <c r="J38" s="112"/>
      <c r="K38" s="113">
        <f>SUM(K8:K37)</f>
        <v>4906240.419999999</v>
      </c>
      <c r="L38" s="111">
        <f>SUM(L8:L37)</f>
        <v>-1604663.7</v>
      </c>
      <c r="M38" s="85"/>
    </row>
    <row r="39" spans="1:13" s="46" customFormat="1" ht="15" x14ac:dyDescent="0.25">
      <c r="B39" s="47"/>
      <c r="C39" s="47"/>
      <c r="D39" s="47"/>
      <c r="E39" s="47"/>
      <c r="F39" s="47"/>
      <c r="G39" s="47"/>
      <c r="H39" s="47"/>
      <c r="I39" s="47"/>
      <c r="J39" s="105"/>
      <c r="K39" s="59"/>
      <c r="L39" s="47"/>
      <c r="M39" s="85"/>
    </row>
    <row r="40" spans="1:13" s="46" customFormat="1" ht="15" x14ac:dyDescent="0.25">
      <c r="A40" s="46" t="s">
        <v>172</v>
      </c>
      <c r="B40" s="101"/>
      <c r="C40" s="101"/>
      <c r="D40" s="101"/>
      <c r="E40" s="101"/>
      <c r="F40" s="101"/>
      <c r="G40" s="101"/>
      <c r="H40" s="101"/>
      <c r="I40" s="101"/>
      <c r="J40" s="106"/>
      <c r="K40" s="102"/>
      <c r="L40" s="101"/>
      <c r="M40" s="85"/>
    </row>
    <row r="41" spans="1:13" s="46" customFormat="1" ht="15" x14ac:dyDescent="0.25">
      <c r="B41" s="47"/>
      <c r="C41" s="47"/>
      <c r="D41" s="47"/>
      <c r="E41" s="47"/>
      <c r="F41" s="47"/>
      <c r="G41" s="47"/>
      <c r="H41" s="47"/>
      <c r="I41" s="47"/>
      <c r="J41" s="105"/>
      <c r="K41" s="107"/>
      <c r="L41" s="47"/>
      <c r="M41" s="85"/>
    </row>
    <row r="42" spans="1:13" x14ac:dyDescent="0.3">
      <c r="A42" s="46" t="s">
        <v>173</v>
      </c>
      <c r="B42" s="47">
        <f>B38+B40</f>
        <v>1543315.31</v>
      </c>
      <c r="C42" s="47">
        <f t="shared" ref="C42:G42" si="5">C38+C40</f>
        <v>764931.6100000001</v>
      </c>
      <c r="D42" s="47">
        <f t="shared" si="5"/>
        <v>50654.47</v>
      </c>
      <c r="E42" s="47">
        <f>SUM(B42:D42)</f>
        <v>2358901.39</v>
      </c>
      <c r="F42" s="47">
        <f t="shared" si="5"/>
        <v>165591.69000000003</v>
      </c>
      <c r="G42" s="47">
        <f t="shared" si="5"/>
        <v>779205.85</v>
      </c>
      <c r="H42" s="47">
        <f>SUM(F42:G42)</f>
        <v>944797.54</v>
      </c>
      <c r="I42" s="47">
        <f>H42+E42</f>
        <v>3303698.93</v>
      </c>
      <c r="J42" s="103"/>
    </row>
    <row r="43" spans="1:13" x14ac:dyDescent="0.3">
      <c r="A43" s="46"/>
      <c r="B43" s="47"/>
      <c r="C43" s="47"/>
      <c r="D43" s="47"/>
      <c r="E43" s="47"/>
      <c r="F43" s="47"/>
      <c r="G43" s="47"/>
      <c r="H43" s="47"/>
      <c r="I43" s="47"/>
      <c r="J43" s="103"/>
    </row>
    <row r="44" spans="1:13" x14ac:dyDescent="0.3">
      <c r="A44" s="46" t="s">
        <v>127</v>
      </c>
      <c r="B44" s="41">
        <f>B42/$I$42</f>
        <v>0.4671476858818972</v>
      </c>
      <c r="C44" s="41">
        <f t="shared" ref="C44:I44" si="6">C42/$I$42</f>
        <v>0.23153792951708224</v>
      </c>
      <c r="D44" s="41">
        <f t="shared" si="6"/>
        <v>1.5332653208807983E-2</v>
      </c>
      <c r="E44" s="41">
        <f t="shared" si="6"/>
        <v>0.7140182686077875</v>
      </c>
      <c r="F44" s="41">
        <f t="shared" si="6"/>
        <v>5.0123117605029473E-2</v>
      </c>
      <c r="G44" s="41">
        <f t="shared" si="6"/>
        <v>0.23585861378718306</v>
      </c>
      <c r="H44" s="41">
        <f t="shared" si="6"/>
        <v>0.28598173139221256</v>
      </c>
      <c r="I44" s="41">
        <f t="shared" si="6"/>
        <v>1</v>
      </c>
      <c r="J44" s="103"/>
    </row>
    <row r="46" spans="1:13" x14ac:dyDescent="0.3">
      <c r="G46" s="88"/>
      <c r="H46" s="88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77A6-40C9-4D9E-9A79-7CAB5FD50822}">
  <dimension ref="A1:P48"/>
  <sheetViews>
    <sheetView topLeftCell="A10" zoomScale="90" zoomScaleNormal="90" workbookViewId="0">
      <selection activeCell="N21" sqref="N21"/>
    </sheetView>
  </sheetViews>
  <sheetFormatPr defaultRowHeight="16.5" x14ac:dyDescent="0.3"/>
  <cols>
    <col min="1" max="1" width="29" style="117" customWidth="1"/>
    <col min="2" max="2" width="29.7109375" style="117" customWidth="1"/>
    <col min="3" max="6" width="14.5703125" style="117" customWidth="1"/>
    <col min="7" max="7" width="14.42578125" style="117" customWidth="1"/>
    <col min="8" max="8" width="3.5703125" style="117" customWidth="1"/>
    <col min="9" max="9" width="9.140625" style="118"/>
    <col min="10" max="10" width="12.7109375" style="119" bestFit="1" customWidth="1"/>
    <col min="11" max="11" width="9.140625" style="117"/>
    <col min="12" max="12" width="13.140625" style="117" customWidth="1"/>
    <col min="13" max="15" width="9.140625" style="117"/>
    <col min="16" max="16" width="27.5703125" style="119" customWidth="1"/>
    <col min="17" max="16384" width="9.140625" style="117"/>
  </cols>
  <sheetData>
    <row r="1" spans="1:12" ht="19.899999999999999" customHeight="1" x14ac:dyDescent="0.3">
      <c r="A1" s="156" t="s">
        <v>0</v>
      </c>
      <c r="B1" s="156"/>
      <c r="C1" s="156"/>
      <c r="D1" s="156"/>
      <c r="E1" s="156"/>
      <c r="F1" s="156"/>
      <c r="G1" s="156"/>
    </row>
    <row r="2" spans="1:12" ht="19.899999999999999" customHeight="1" x14ac:dyDescent="0.3">
      <c r="A2" s="156" t="s">
        <v>84</v>
      </c>
      <c r="B2" s="156"/>
      <c r="C2" s="156"/>
      <c r="D2" s="156"/>
      <c r="E2" s="156"/>
      <c r="F2" s="156"/>
      <c r="G2" s="156"/>
    </row>
    <row r="3" spans="1:12" ht="21" customHeight="1" x14ac:dyDescent="0.3">
      <c r="A3" s="158">
        <v>45838</v>
      </c>
      <c r="B3" s="158"/>
      <c r="C3" s="158"/>
      <c r="D3" s="158"/>
      <c r="E3" s="158"/>
      <c r="F3" s="158"/>
      <c r="G3" s="158"/>
    </row>
    <row r="4" spans="1:12" ht="50.25" customHeight="1" x14ac:dyDescent="0.3">
      <c r="A4" s="159"/>
      <c r="B4" s="159"/>
      <c r="C4" s="120" t="s">
        <v>185</v>
      </c>
      <c r="D4" s="121" t="s">
        <v>85</v>
      </c>
      <c r="E4" s="120" t="s">
        <v>174</v>
      </c>
      <c r="F4" s="121" t="s">
        <v>120</v>
      </c>
      <c r="G4" s="120" t="s">
        <v>186</v>
      </c>
    </row>
    <row r="5" spans="1:12" ht="15.75" customHeight="1" x14ac:dyDescent="0.3">
      <c r="A5" s="157" t="s">
        <v>86</v>
      </c>
      <c r="B5" s="157"/>
      <c r="C5" s="123">
        <v>791576</v>
      </c>
      <c r="D5" s="123">
        <v>2505000</v>
      </c>
      <c r="E5" s="123">
        <f>1000000+62403+20000</f>
        <v>1082403</v>
      </c>
      <c r="F5" s="123"/>
      <c r="G5" s="124">
        <f>C5+D5+E5+F5</f>
        <v>4378979</v>
      </c>
      <c r="L5" s="125"/>
    </row>
    <row r="6" spans="1:12" ht="15.75" customHeight="1" x14ac:dyDescent="0.3">
      <c r="A6" s="157" t="s">
        <v>87</v>
      </c>
      <c r="B6" s="157"/>
      <c r="C6" s="123">
        <v>6350</v>
      </c>
      <c r="D6" s="123"/>
      <c r="E6" s="123"/>
      <c r="F6" s="123"/>
      <c r="G6" s="124">
        <f>C6+D6+E6+F6</f>
        <v>6350</v>
      </c>
      <c r="L6" s="125"/>
    </row>
    <row r="7" spans="1:12" ht="15.75" customHeight="1" x14ac:dyDescent="0.3">
      <c r="A7" s="122"/>
      <c r="B7" s="122"/>
      <c r="C7" s="123"/>
      <c r="D7" s="123"/>
      <c r="E7" s="123"/>
      <c r="F7" s="123"/>
      <c r="G7" s="124"/>
      <c r="L7" s="125"/>
    </row>
    <row r="8" spans="1:12" ht="15.75" customHeight="1" x14ac:dyDescent="0.3">
      <c r="A8" s="116" t="s">
        <v>111</v>
      </c>
      <c r="B8" s="122"/>
      <c r="C8" s="123"/>
      <c r="D8" s="123"/>
      <c r="E8" s="123"/>
      <c r="F8" s="123"/>
      <c r="G8" s="124"/>
      <c r="L8" s="125"/>
    </row>
    <row r="9" spans="1:12" ht="15.75" customHeight="1" x14ac:dyDescent="0.3">
      <c r="A9" s="122" t="s">
        <v>128</v>
      </c>
      <c r="B9" s="122"/>
      <c r="C9" s="123">
        <v>0</v>
      </c>
      <c r="D9" s="126">
        <v>130389.65</v>
      </c>
      <c r="E9" s="126">
        <v>-116365</v>
      </c>
      <c r="F9" s="123">
        <v>-14025</v>
      </c>
      <c r="G9" s="124">
        <f>C9+D9+E9+F9</f>
        <v>-0.35000000000582077</v>
      </c>
      <c r="I9" s="118" t="s">
        <v>187</v>
      </c>
      <c r="L9" s="125"/>
    </row>
    <row r="10" spans="1:12" ht="15.75" customHeight="1" x14ac:dyDescent="0.3">
      <c r="A10" s="157" t="s">
        <v>88</v>
      </c>
      <c r="B10" s="157"/>
      <c r="C10" s="123">
        <v>8000</v>
      </c>
      <c r="D10" s="123">
        <v>520596.77</v>
      </c>
      <c r="E10" s="123">
        <v>5789</v>
      </c>
      <c r="F10" s="123">
        <f>-534386+8000</f>
        <v>-526386</v>
      </c>
      <c r="G10" s="124">
        <f t="shared" ref="G10:G25" si="0">C10+D10+E10+F10</f>
        <v>7999.7700000000186</v>
      </c>
      <c r="L10" s="125"/>
    </row>
    <row r="11" spans="1:12" ht="15.75" customHeight="1" x14ac:dyDescent="0.3">
      <c r="A11" s="157" t="s">
        <v>89</v>
      </c>
      <c r="B11" s="157"/>
      <c r="C11" s="123">
        <v>1728211</v>
      </c>
      <c r="D11" s="123">
        <v>-209015.37</v>
      </c>
      <c r="E11" s="123"/>
      <c r="F11" s="123"/>
      <c r="G11" s="124">
        <f t="shared" si="0"/>
        <v>1519195.63</v>
      </c>
      <c r="L11" s="125"/>
    </row>
    <row r="12" spans="1:12" ht="15.75" customHeight="1" x14ac:dyDescent="0.3">
      <c r="A12" s="157" t="s">
        <v>90</v>
      </c>
      <c r="B12" s="157"/>
      <c r="C12" s="123">
        <v>22530.53</v>
      </c>
      <c r="D12" s="123">
        <v>8000</v>
      </c>
      <c r="E12" s="123"/>
      <c r="F12" s="123">
        <v>-871.91</v>
      </c>
      <c r="G12" s="124">
        <f t="shared" si="0"/>
        <v>29658.62</v>
      </c>
      <c r="L12" s="125"/>
    </row>
    <row r="13" spans="1:12" ht="15.75" customHeight="1" x14ac:dyDescent="0.3">
      <c r="A13" s="157" t="s">
        <v>91</v>
      </c>
      <c r="B13" s="157"/>
      <c r="C13" s="123">
        <v>6723</v>
      </c>
      <c r="D13" s="127"/>
      <c r="E13" s="127"/>
      <c r="F13" s="123">
        <v>-6723</v>
      </c>
      <c r="G13" s="124">
        <f t="shared" si="0"/>
        <v>0</v>
      </c>
      <c r="L13" s="125"/>
    </row>
    <row r="14" spans="1:12" ht="15.75" customHeight="1" x14ac:dyDescent="0.3">
      <c r="A14" s="122" t="s">
        <v>130</v>
      </c>
      <c r="B14" s="122"/>
      <c r="C14" s="123">
        <v>0</v>
      </c>
      <c r="D14" s="123">
        <v>330791.39</v>
      </c>
      <c r="E14" s="123">
        <v>100856</v>
      </c>
      <c r="F14" s="123">
        <v>-431647</v>
      </c>
      <c r="G14" s="124">
        <f t="shared" si="0"/>
        <v>0.39000000001396984</v>
      </c>
      <c r="L14" s="125"/>
    </row>
    <row r="15" spans="1:12" ht="15.75" customHeight="1" x14ac:dyDescent="0.3">
      <c r="A15" s="157" t="s">
        <v>92</v>
      </c>
      <c r="B15" s="157"/>
      <c r="C15" s="123">
        <v>119909</v>
      </c>
      <c r="D15" s="123">
        <v>110500</v>
      </c>
      <c r="E15" s="123"/>
      <c r="F15" s="123">
        <v>-93072.68</v>
      </c>
      <c r="G15" s="124">
        <f t="shared" si="0"/>
        <v>137336.32000000001</v>
      </c>
      <c r="L15" s="125"/>
    </row>
    <row r="16" spans="1:12" ht="15.75" customHeight="1" x14ac:dyDescent="0.3">
      <c r="A16" s="157" t="s">
        <v>93</v>
      </c>
      <c r="B16" s="157"/>
      <c r="C16" s="123">
        <v>0</v>
      </c>
      <c r="D16" s="123">
        <v>90950</v>
      </c>
      <c r="E16" s="123">
        <v>8809</v>
      </c>
      <c r="F16" s="123">
        <v>-99759.34</v>
      </c>
      <c r="G16" s="124">
        <f t="shared" si="0"/>
        <v>-0.33999999999650754</v>
      </c>
      <c r="L16" s="125"/>
    </row>
    <row r="17" spans="1:12" ht="15.75" customHeight="1" x14ac:dyDescent="0.3">
      <c r="A17" s="122" t="s">
        <v>126</v>
      </c>
      <c r="B17" s="122"/>
      <c r="C17" s="123">
        <v>0</v>
      </c>
      <c r="D17" s="123">
        <v>25000</v>
      </c>
      <c r="E17" s="123">
        <v>911</v>
      </c>
      <c r="F17" s="123">
        <v>-25910.87</v>
      </c>
      <c r="G17" s="124">
        <f t="shared" si="0"/>
        <v>0.13000000000101863</v>
      </c>
      <c r="L17" s="125"/>
    </row>
    <row r="18" spans="1:12" ht="15.75" customHeight="1" x14ac:dyDescent="0.3">
      <c r="A18" s="157" t="s">
        <v>94</v>
      </c>
      <c r="B18" s="157"/>
      <c r="C18" s="123">
        <v>42898.33</v>
      </c>
      <c r="D18" s="123"/>
      <c r="E18" s="123"/>
      <c r="F18" s="123">
        <v>-17742.349999999999</v>
      </c>
      <c r="G18" s="124">
        <f t="shared" si="0"/>
        <v>25155.980000000003</v>
      </c>
      <c r="L18" s="125"/>
    </row>
    <row r="19" spans="1:12" ht="15.75" customHeight="1" x14ac:dyDescent="0.3">
      <c r="A19" s="157" t="s">
        <v>95</v>
      </c>
      <c r="B19" s="157"/>
      <c r="C19" s="123">
        <v>5529</v>
      </c>
      <c r="D19" s="123"/>
      <c r="E19" s="123"/>
      <c r="F19" s="123"/>
      <c r="G19" s="124">
        <f t="shared" si="0"/>
        <v>5529</v>
      </c>
      <c r="L19" s="125"/>
    </row>
    <row r="20" spans="1:12" ht="15.75" customHeight="1" x14ac:dyDescent="0.3">
      <c r="A20" s="157" t="s">
        <v>96</v>
      </c>
      <c r="B20" s="157"/>
      <c r="C20" s="123">
        <v>11467</v>
      </c>
      <c r="D20" s="123">
        <v>2100</v>
      </c>
      <c r="E20" s="123"/>
      <c r="F20" s="123">
        <v>-1500</v>
      </c>
      <c r="G20" s="124">
        <f t="shared" si="0"/>
        <v>12067</v>
      </c>
      <c r="L20" s="125"/>
    </row>
    <row r="21" spans="1:12" ht="15.75" customHeight="1" x14ac:dyDescent="0.3">
      <c r="A21" s="157" t="s">
        <v>97</v>
      </c>
      <c r="B21" s="157"/>
      <c r="C21" s="123">
        <v>15912</v>
      </c>
      <c r="D21" s="123"/>
      <c r="E21" s="123"/>
      <c r="F21" s="123">
        <v>-15912.42</v>
      </c>
      <c r="G21" s="124">
        <f t="shared" si="0"/>
        <v>-0.42000000000007276</v>
      </c>
      <c r="L21" s="125"/>
    </row>
    <row r="22" spans="1:12" ht="15.75" customHeight="1" x14ac:dyDescent="0.3">
      <c r="A22" s="157" t="s">
        <v>98</v>
      </c>
      <c r="B22" s="157"/>
      <c r="C22" s="123">
        <v>22545</v>
      </c>
      <c r="D22" s="123">
        <v>11500</v>
      </c>
      <c r="E22" s="123"/>
      <c r="F22" s="123">
        <v>-8528.25</v>
      </c>
      <c r="G22" s="124">
        <f t="shared" si="0"/>
        <v>25516.75</v>
      </c>
      <c r="L22" s="125"/>
    </row>
    <row r="23" spans="1:12" ht="15.75" customHeight="1" x14ac:dyDescent="0.3">
      <c r="A23" s="157" t="s">
        <v>188</v>
      </c>
      <c r="B23" s="157"/>
      <c r="C23" s="123">
        <v>0</v>
      </c>
      <c r="D23" s="123"/>
      <c r="E23" s="123"/>
      <c r="F23" s="123"/>
      <c r="G23" s="124">
        <f t="shared" si="0"/>
        <v>0</v>
      </c>
      <c r="L23" s="125"/>
    </row>
    <row r="24" spans="1:12" ht="15.75" customHeight="1" x14ac:dyDescent="0.3">
      <c r="A24" s="157" t="s">
        <v>99</v>
      </c>
      <c r="B24" s="157"/>
      <c r="C24" s="123">
        <v>4000</v>
      </c>
      <c r="D24" s="123"/>
      <c r="E24" s="123"/>
      <c r="F24" s="123">
        <v>-1000</v>
      </c>
      <c r="G24" s="124">
        <f t="shared" si="0"/>
        <v>3000</v>
      </c>
      <c r="L24" s="125"/>
    </row>
    <row r="25" spans="1:12" ht="15.75" customHeight="1" x14ac:dyDescent="0.3">
      <c r="A25" s="122" t="s">
        <v>142</v>
      </c>
      <c r="B25" s="122"/>
      <c r="C25" s="123">
        <v>18341</v>
      </c>
      <c r="D25" s="123">
        <v>44159.38</v>
      </c>
      <c r="E25" s="123">
        <f>-26559-10000-2500-23344</f>
        <v>-62403</v>
      </c>
      <c r="F25" s="123"/>
      <c r="G25" s="124">
        <f t="shared" si="0"/>
        <v>97.379999999997381</v>
      </c>
      <c r="I25" s="118" t="s">
        <v>189</v>
      </c>
      <c r="L25" s="125"/>
    </row>
    <row r="26" spans="1:12" ht="15.75" customHeight="1" x14ac:dyDescent="0.3">
      <c r="A26" s="122"/>
      <c r="B26" s="122"/>
      <c r="C26" s="123"/>
      <c r="D26" s="123"/>
      <c r="E26" s="123"/>
      <c r="F26" s="123"/>
      <c r="G26" s="124"/>
      <c r="L26" s="125"/>
    </row>
    <row r="27" spans="1:12" ht="15.75" customHeight="1" x14ac:dyDescent="0.3">
      <c r="A27" s="116" t="s">
        <v>72</v>
      </c>
      <c r="B27" s="122"/>
      <c r="C27" s="123"/>
      <c r="D27" s="123"/>
      <c r="E27" s="123"/>
      <c r="F27" s="123"/>
      <c r="G27" s="124"/>
      <c r="L27" s="125"/>
    </row>
    <row r="28" spans="1:12" ht="15.75" customHeight="1" x14ac:dyDescent="0.3">
      <c r="A28" s="122" t="s">
        <v>132</v>
      </c>
      <c r="B28" s="122"/>
      <c r="C28" s="123">
        <v>0</v>
      </c>
      <c r="D28" s="123">
        <f>1000000+6033</f>
        <v>1006033</v>
      </c>
      <c r="E28" s="123">
        <v>-1000000</v>
      </c>
      <c r="F28" s="128">
        <v>-6033</v>
      </c>
      <c r="G28" s="124">
        <f>C28+D28+E28+F28</f>
        <v>0</v>
      </c>
      <c r="I28" s="118" t="s">
        <v>190</v>
      </c>
      <c r="L28" s="125"/>
    </row>
    <row r="29" spans="1:12" ht="15.75" customHeight="1" x14ac:dyDescent="0.3">
      <c r="A29" s="157" t="s">
        <v>110</v>
      </c>
      <c r="B29" s="157"/>
      <c r="C29" s="123">
        <v>39214</v>
      </c>
      <c r="D29" s="123">
        <v>13754</v>
      </c>
      <c r="E29" s="123"/>
      <c r="F29" s="123">
        <v>-52968</v>
      </c>
      <c r="G29" s="124">
        <f t="shared" ref="G29:G39" si="1">C29+D29+E29+F29</f>
        <v>0</v>
      </c>
      <c r="L29" s="125"/>
    </row>
    <row r="30" spans="1:12" ht="15.75" customHeight="1" x14ac:dyDescent="0.3">
      <c r="A30" s="157" t="s">
        <v>100</v>
      </c>
      <c r="B30" s="157"/>
      <c r="C30" s="123">
        <v>27872.709999999992</v>
      </c>
      <c r="D30" s="123">
        <v>125318.02</v>
      </c>
      <c r="E30" s="123"/>
      <c r="F30" s="123">
        <v>-142117.95000000001</v>
      </c>
      <c r="G30" s="124">
        <f t="shared" si="1"/>
        <v>11072.77999999997</v>
      </c>
      <c r="L30" s="125"/>
    </row>
    <row r="31" spans="1:12" ht="15.75" customHeight="1" x14ac:dyDescent="0.3">
      <c r="A31" s="157" t="s">
        <v>101</v>
      </c>
      <c r="B31" s="157"/>
      <c r="C31" s="123">
        <v>13541.26</v>
      </c>
      <c r="D31" s="123">
        <v>11332.81</v>
      </c>
      <c r="E31" s="123"/>
      <c r="F31" s="123">
        <v>-18069.13</v>
      </c>
      <c r="G31" s="124">
        <f t="shared" si="1"/>
        <v>6804.9399999999987</v>
      </c>
      <c r="L31" s="125"/>
    </row>
    <row r="32" spans="1:12" ht="15.75" customHeight="1" x14ac:dyDescent="0.3">
      <c r="A32" s="157" t="s">
        <v>102</v>
      </c>
      <c r="B32" s="157"/>
      <c r="C32" s="123">
        <v>10608.099999999999</v>
      </c>
      <c r="D32" s="123">
        <v>22835</v>
      </c>
      <c r="E32" s="123"/>
      <c r="F32" s="129">
        <v>-25795.53</v>
      </c>
      <c r="G32" s="124">
        <f t="shared" si="1"/>
        <v>7647.57</v>
      </c>
      <c r="L32" s="125"/>
    </row>
    <row r="33" spans="1:16" ht="15.75" customHeight="1" x14ac:dyDescent="0.3">
      <c r="A33" s="157" t="s">
        <v>103</v>
      </c>
      <c r="B33" s="157"/>
      <c r="C33" s="123">
        <v>16075</v>
      </c>
      <c r="D33" s="123">
        <v>0</v>
      </c>
      <c r="E33" s="123"/>
      <c r="F33" s="123">
        <v>-16075</v>
      </c>
      <c r="G33" s="124">
        <f t="shared" si="1"/>
        <v>0</v>
      </c>
      <c r="L33" s="125"/>
    </row>
    <row r="34" spans="1:16" ht="15.75" customHeight="1" x14ac:dyDescent="0.3">
      <c r="A34" s="157" t="s">
        <v>104</v>
      </c>
      <c r="B34" s="157"/>
      <c r="C34" s="123">
        <v>15000</v>
      </c>
      <c r="D34" s="123">
        <v>5000</v>
      </c>
      <c r="E34" s="123">
        <v>-20000</v>
      </c>
      <c r="F34" s="123"/>
      <c r="G34" s="124">
        <f t="shared" si="1"/>
        <v>0</v>
      </c>
      <c r="I34" s="118" t="s">
        <v>189</v>
      </c>
      <c r="L34" s="125"/>
    </row>
    <row r="35" spans="1:16" ht="15.75" customHeight="1" x14ac:dyDescent="0.3">
      <c r="A35" s="157" t="s">
        <v>105</v>
      </c>
      <c r="B35" s="157"/>
      <c r="C35" s="123">
        <v>8275.36</v>
      </c>
      <c r="D35" s="123">
        <v>4500</v>
      </c>
      <c r="E35" s="123"/>
      <c r="F35" s="123">
        <v>-7479.84</v>
      </c>
      <c r="G35" s="124">
        <f t="shared" si="1"/>
        <v>5295.52</v>
      </c>
      <c r="L35" s="125"/>
    </row>
    <row r="36" spans="1:16" ht="15.75" customHeight="1" x14ac:dyDescent="0.3">
      <c r="A36" s="157" t="s">
        <v>106</v>
      </c>
      <c r="B36" s="157"/>
      <c r="C36" s="123">
        <v>9051</v>
      </c>
      <c r="D36" s="123">
        <v>4965</v>
      </c>
      <c r="E36" s="123"/>
      <c r="F36" s="123">
        <v>-3759.71</v>
      </c>
      <c r="G36" s="124">
        <f t="shared" si="1"/>
        <v>10256.290000000001</v>
      </c>
      <c r="L36" s="125"/>
    </row>
    <row r="37" spans="1:16" ht="15.75" customHeight="1" x14ac:dyDescent="0.3">
      <c r="A37" s="157" t="s">
        <v>107</v>
      </c>
      <c r="B37" s="157"/>
      <c r="C37" s="123">
        <v>0</v>
      </c>
      <c r="D37" s="123">
        <v>173000.13</v>
      </c>
      <c r="E37" s="123"/>
      <c r="F37" s="123">
        <v>-173000</v>
      </c>
      <c r="G37" s="124">
        <f t="shared" si="1"/>
        <v>0.13000000000465661</v>
      </c>
      <c r="L37" s="125"/>
    </row>
    <row r="38" spans="1:16" ht="15.75" customHeight="1" x14ac:dyDescent="0.3">
      <c r="A38" s="157" t="s">
        <v>108</v>
      </c>
      <c r="B38" s="157"/>
      <c r="C38" s="123">
        <v>1303.75</v>
      </c>
      <c r="D38" s="123"/>
      <c r="E38" s="123"/>
      <c r="F38" s="123"/>
      <c r="G38" s="124">
        <f t="shared" si="1"/>
        <v>1303.75</v>
      </c>
      <c r="L38" s="125"/>
    </row>
    <row r="39" spans="1:16" ht="15.75" customHeight="1" x14ac:dyDescent="0.3">
      <c r="A39" s="157" t="s">
        <v>109</v>
      </c>
      <c r="B39" s="157"/>
      <c r="C39" s="130">
        <f>20984.35-175</f>
        <v>20809.349999999999</v>
      </c>
      <c r="D39" s="130"/>
      <c r="E39" s="130"/>
      <c r="F39" s="130">
        <v>-17394.169999999998</v>
      </c>
      <c r="G39" s="131">
        <f t="shared" si="1"/>
        <v>3415.1800000000003</v>
      </c>
      <c r="L39" s="125"/>
    </row>
    <row r="40" spans="1:16" s="133" customFormat="1" ht="15.75" customHeight="1" x14ac:dyDescent="0.3">
      <c r="A40" s="156" t="s">
        <v>79</v>
      </c>
      <c r="B40" s="156"/>
      <c r="C40" s="132">
        <f>SUM(C5:C39)</f>
        <v>2965742.3899999997</v>
      </c>
      <c r="D40" s="132">
        <f>SUM(D5:D39)</f>
        <v>4936709.7799999993</v>
      </c>
      <c r="E40" s="132">
        <f t="shared" ref="E40:F40" si="2">SUM(E5:E39)</f>
        <v>0</v>
      </c>
      <c r="F40" s="132">
        <f t="shared" si="2"/>
        <v>-1705771.1500000001</v>
      </c>
      <c r="G40" s="132">
        <f>SUM(G5:G39)</f>
        <v>6196681.0200000005</v>
      </c>
      <c r="I40" s="134"/>
      <c r="J40" s="135"/>
      <c r="L40" s="125"/>
      <c r="P40" s="135"/>
    </row>
    <row r="41" spans="1:16" ht="13.35" customHeight="1" x14ac:dyDescent="0.3"/>
    <row r="42" spans="1:16" x14ac:dyDescent="0.3">
      <c r="F42" s="136"/>
    </row>
    <row r="44" spans="1:16" x14ac:dyDescent="0.3">
      <c r="D44" s="125"/>
      <c r="E44" s="125"/>
      <c r="F44" s="125"/>
    </row>
    <row r="45" spans="1:16" x14ac:dyDescent="0.3">
      <c r="C45" s="125"/>
      <c r="F45" s="125"/>
    </row>
    <row r="48" spans="1:16" x14ac:dyDescent="0.3">
      <c r="D48" s="125"/>
    </row>
  </sheetData>
  <mergeCells count="31">
    <mergeCell ref="A16:B16"/>
    <mergeCell ref="A1:G1"/>
    <mergeCell ref="A2:G2"/>
    <mergeCell ref="A3:G3"/>
    <mergeCell ref="A4:B4"/>
    <mergeCell ref="A5:B5"/>
    <mergeCell ref="A6:B6"/>
    <mergeCell ref="A10:B10"/>
    <mergeCell ref="A11:B11"/>
    <mergeCell ref="A12:B12"/>
    <mergeCell ref="A13:B13"/>
    <mergeCell ref="A15:B15"/>
    <mergeCell ref="A33:B33"/>
    <mergeCell ref="A18:B18"/>
    <mergeCell ref="A19:B19"/>
    <mergeCell ref="A20:B20"/>
    <mergeCell ref="A21:B21"/>
    <mergeCell ref="A22:B22"/>
    <mergeCell ref="A23:B23"/>
    <mergeCell ref="A24:B24"/>
    <mergeCell ref="A29:B29"/>
    <mergeCell ref="A30:B30"/>
    <mergeCell ref="A31:B31"/>
    <mergeCell ref="A32:B32"/>
    <mergeCell ref="A40:B40"/>
    <mergeCell ref="A34:B34"/>
    <mergeCell ref="A35:B35"/>
    <mergeCell ref="A36:B36"/>
    <mergeCell ref="A37:B37"/>
    <mergeCell ref="A38:B38"/>
    <mergeCell ref="A39:B39"/>
  </mergeCells>
  <pageMargins left="0.25" right="0.25" top="0.25" bottom="0.25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79"/>
  <sheetViews>
    <sheetView topLeftCell="A44" zoomScaleNormal="100" workbookViewId="0">
      <selection activeCell="G45" sqref="G45"/>
    </sheetView>
  </sheetViews>
  <sheetFormatPr defaultRowHeight="16.5" x14ac:dyDescent="0.3"/>
  <cols>
    <col min="1" max="1" width="22.140625" style="1" customWidth="1"/>
    <col min="2" max="2" width="35.85546875" style="1" customWidth="1"/>
    <col min="3" max="3" width="14.5703125" style="1" customWidth="1"/>
    <col min="4" max="4" width="19.28515625" style="1" customWidth="1"/>
    <col min="5" max="5" width="13.28515625" style="1" customWidth="1"/>
    <col min="6" max="6" width="1.28515625" style="1" customWidth="1"/>
    <col min="7" max="7" width="15" style="1" customWidth="1"/>
    <col min="8" max="8" width="19.5703125" style="23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8" ht="19.899999999999999" customHeight="1" x14ac:dyDescent="0.3">
      <c r="A1" s="146" t="s">
        <v>0</v>
      </c>
      <c r="B1" s="146"/>
      <c r="C1" s="146"/>
      <c r="D1" s="146"/>
      <c r="E1" s="146"/>
      <c r="F1" s="10"/>
      <c r="G1" s="10"/>
    </row>
    <row r="2" spans="1:8" ht="19.899999999999999" customHeight="1" x14ac:dyDescent="0.3">
      <c r="A2" s="146" t="s">
        <v>83</v>
      </c>
      <c r="B2" s="146"/>
      <c r="C2" s="146"/>
      <c r="D2" s="146"/>
      <c r="E2" s="146"/>
      <c r="F2" s="10"/>
      <c r="G2" s="10"/>
    </row>
    <row r="3" spans="1:8" ht="16.899999999999999" customHeight="1" x14ac:dyDescent="0.3">
      <c r="A3" s="146" t="s">
        <v>177</v>
      </c>
      <c r="B3" s="146"/>
      <c r="C3" s="146"/>
      <c r="D3" s="146"/>
      <c r="E3" s="146"/>
      <c r="F3" s="10"/>
      <c r="G3" s="10"/>
      <c r="H3" s="48"/>
    </row>
    <row r="4" spans="1:8" ht="15.75" customHeight="1" x14ac:dyDescent="0.3">
      <c r="A4" s="147"/>
      <c r="B4" s="147"/>
      <c r="C4" s="147"/>
      <c r="D4" s="147"/>
      <c r="E4" s="147"/>
      <c r="F4" s="70"/>
      <c r="G4" s="70"/>
    </row>
    <row r="5" spans="1:8" ht="57.75" customHeight="1" x14ac:dyDescent="0.3">
      <c r="A5" s="148"/>
      <c r="B5" s="148"/>
      <c r="C5" s="25" t="s">
        <v>183</v>
      </c>
      <c r="D5" s="25" t="s">
        <v>184</v>
      </c>
      <c r="E5" s="25" t="s">
        <v>151</v>
      </c>
      <c r="F5" s="71"/>
      <c r="G5" s="48"/>
      <c r="H5" s="1"/>
    </row>
    <row r="6" spans="1:8" ht="15.75" customHeight="1" x14ac:dyDescent="0.3">
      <c r="A6" s="144" t="s">
        <v>41</v>
      </c>
      <c r="B6" s="144"/>
      <c r="G6" s="23"/>
      <c r="H6" s="1"/>
    </row>
    <row r="7" spans="1:8" ht="15.75" customHeight="1" x14ac:dyDescent="0.3">
      <c r="A7" s="144" t="s">
        <v>82</v>
      </c>
      <c r="B7" s="144"/>
      <c r="C7" s="5">
        <f>3742672.84-C53</f>
        <v>1242672.8399999999</v>
      </c>
      <c r="D7" s="5">
        <v>1446069</v>
      </c>
      <c r="E7" s="5">
        <f>C7-D7</f>
        <v>-203396.16000000015</v>
      </c>
      <c r="F7" s="5"/>
      <c r="G7" s="48"/>
      <c r="H7" s="1"/>
    </row>
    <row r="8" spans="1:8" ht="15.75" customHeight="1" x14ac:dyDescent="0.3">
      <c r="A8" s="144" t="s">
        <v>81</v>
      </c>
      <c r="B8" s="144"/>
      <c r="C8" s="5">
        <v>11332.81</v>
      </c>
      <c r="D8" s="5">
        <v>13380.46</v>
      </c>
      <c r="E8" s="5">
        <f t="shared" ref="E8:E12" si="0">C8-D8</f>
        <v>-2047.6499999999996</v>
      </c>
      <c r="F8" s="5"/>
      <c r="G8" s="48"/>
      <c r="H8" s="1"/>
    </row>
    <row r="9" spans="1:8" ht="15.75" customHeight="1" x14ac:dyDescent="0.3">
      <c r="A9" s="144" t="s">
        <v>80</v>
      </c>
      <c r="B9" s="144"/>
      <c r="C9" s="5">
        <f>2684650.13-C54</f>
        <v>1684650.13</v>
      </c>
      <c r="D9" s="5">
        <v>1412899.54</v>
      </c>
      <c r="E9" s="5">
        <f t="shared" si="0"/>
        <v>271750.58999999985</v>
      </c>
      <c r="F9" s="5"/>
      <c r="G9" s="48"/>
      <c r="H9" s="1"/>
    </row>
    <row r="10" spans="1:8" ht="15.75" customHeight="1" x14ac:dyDescent="0.3">
      <c r="A10" s="144" t="s">
        <v>166</v>
      </c>
      <c r="B10" s="144"/>
      <c r="C10" s="5">
        <v>255353.94999999998</v>
      </c>
      <c r="D10" s="5">
        <v>260651</v>
      </c>
      <c r="E10" s="5">
        <f t="shared" si="0"/>
        <v>-5297.0500000000175</v>
      </c>
      <c r="F10" s="5"/>
      <c r="G10" s="48"/>
      <c r="H10" s="1"/>
    </row>
    <row r="11" spans="1:8" ht="15.75" customHeight="1" x14ac:dyDescent="0.3">
      <c r="A11" s="3" t="s">
        <v>137</v>
      </c>
      <c r="B11" s="3"/>
      <c r="C11" s="5">
        <f>126163.66-C57</f>
        <v>92903.360000000001</v>
      </c>
      <c r="D11" s="5">
        <v>58000</v>
      </c>
      <c r="E11" s="5">
        <f t="shared" si="0"/>
        <v>34903.360000000001</v>
      </c>
      <c r="F11" s="5"/>
      <c r="G11" s="48"/>
      <c r="H11" s="1"/>
    </row>
    <row r="12" spans="1:8" ht="15.75" customHeight="1" x14ac:dyDescent="0.3">
      <c r="A12" s="145" t="s">
        <v>148</v>
      </c>
      <c r="B12" s="145"/>
      <c r="C12" s="77">
        <f>447512.63-C63</f>
        <v>104857.66000000003</v>
      </c>
      <c r="D12" s="5">
        <v>84000</v>
      </c>
      <c r="E12" s="5">
        <f t="shared" si="0"/>
        <v>20857.660000000033</v>
      </c>
      <c r="F12" s="5"/>
      <c r="G12" s="48"/>
      <c r="H12" s="1"/>
    </row>
    <row r="13" spans="1:8" ht="15.75" customHeight="1" x14ac:dyDescent="0.3">
      <c r="A13" s="144" t="s">
        <v>79</v>
      </c>
      <c r="B13" s="144"/>
      <c r="C13" s="8">
        <f>SUM(C7:C12)</f>
        <v>3391770.75</v>
      </c>
      <c r="D13" s="8">
        <f>SUM(D7:D12)</f>
        <v>3275000</v>
      </c>
      <c r="E13" s="8">
        <f>SUM(E7:E12)</f>
        <v>116770.74999999972</v>
      </c>
      <c r="F13" s="9"/>
      <c r="G13" s="48"/>
      <c r="H13" s="45"/>
    </row>
    <row r="14" spans="1:8" ht="15.75" customHeight="1" x14ac:dyDescent="0.3">
      <c r="C14" s="7"/>
      <c r="D14" s="7"/>
      <c r="E14" s="7"/>
      <c r="F14" s="7"/>
      <c r="G14" s="23"/>
      <c r="H14" s="1"/>
    </row>
    <row r="15" spans="1:8" ht="15.75" customHeight="1" x14ac:dyDescent="0.3">
      <c r="A15" s="144" t="s">
        <v>34</v>
      </c>
      <c r="B15" s="144"/>
      <c r="C15" s="7"/>
      <c r="D15" s="7"/>
      <c r="E15" s="7"/>
      <c r="F15" s="7"/>
      <c r="G15" s="23"/>
      <c r="H15" s="1"/>
    </row>
    <row r="16" spans="1:8" ht="15.75" customHeight="1" x14ac:dyDescent="0.3">
      <c r="A16" s="144" t="s">
        <v>141</v>
      </c>
      <c r="B16" s="144"/>
      <c r="C16" s="76">
        <v>1689443.53</v>
      </c>
      <c r="D16" s="76">
        <v>2072713</v>
      </c>
      <c r="E16" s="5">
        <f>C16-D16</f>
        <v>-383269.47</v>
      </c>
      <c r="F16" s="5"/>
      <c r="G16" s="23" t="s">
        <v>133</v>
      </c>
      <c r="H16" s="1"/>
    </row>
    <row r="17" spans="1:12" ht="15.75" customHeight="1" x14ac:dyDescent="0.3">
      <c r="A17" s="144" t="s">
        <v>64</v>
      </c>
      <c r="B17" s="144"/>
      <c r="C17" s="76">
        <f>249874.83-C58</f>
        <v>216614.52999999997</v>
      </c>
      <c r="D17" s="76">
        <v>239691.5</v>
      </c>
      <c r="E17" s="5">
        <f t="shared" ref="E17:E45" si="1">C17-D17</f>
        <v>-23076.97000000003</v>
      </c>
      <c r="F17" s="5"/>
      <c r="G17" s="23"/>
      <c r="H17" s="1"/>
    </row>
    <row r="18" spans="1:12" ht="15.75" customHeight="1" x14ac:dyDescent="0.3">
      <c r="A18" s="144" t="s">
        <v>63</v>
      </c>
      <c r="B18" s="144"/>
      <c r="C18" s="76">
        <v>80007.509999999995</v>
      </c>
      <c r="D18" s="76">
        <v>101395.8</v>
      </c>
      <c r="E18" s="5">
        <f t="shared" si="1"/>
        <v>-21388.290000000008</v>
      </c>
      <c r="F18" s="5"/>
      <c r="G18" s="23"/>
      <c r="H18" s="1"/>
    </row>
    <row r="19" spans="1:12" ht="15.75" customHeight="1" x14ac:dyDescent="0.3">
      <c r="A19" s="144" t="s">
        <v>62</v>
      </c>
      <c r="B19" s="144"/>
      <c r="C19" s="76">
        <v>145354.73000000001</v>
      </c>
      <c r="D19" s="76">
        <v>149700</v>
      </c>
      <c r="E19" s="5">
        <f t="shared" si="1"/>
        <v>-4345.2699999999895</v>
      </c>
      <c r="F19" s="5"/>
      <c r="G19" s="23"/>
      <c r="H19" s="1"/>
    </row>
    <row r="20" spans="1:12" ht="15.75" customHeight="1" x14ac:dyDescent="0.3">
      <c r="A20" s="144" t="s">
        <v>61</v>
      </c>
      <c r="B20" s="144"/>
      <c r="C20" s="76">
        <v>305472.23</v>
      </c>
      <c r="D20" s="76">
        <v>168700</v>
      </c>
      <c r="E20" s="5">
        <f t="shared" si="1"/>
        <v>136772.22999999998</v>
      </c>
      <c r="F20" s="5"/>
      <c r="G20" s="23" t="s">
        <v>163</v>
      </c>
      <c r="H20" s="1"/>
    </row>
    <row r="21" spans="1:12" ht="15.75" customHeight="1" x14ac:dyDescent="0.3">
      <c r="A21" s="3" t="s">
        <v>131</v>
      </c>
      <c r="B21" s="3"/>
      <c r="C21" s="76">
        <v>14752.97</v>
      </c>
      <c r="D21" s="76">
        <v>16750</v>
      </c>
      <c r="E21" s="5">
        <f t="shared" si="1"/>
        <v>-1997.0300000000007</v>
      </c>
      <c r="F21" s="5"/>
      <c r="G21" s="23"/>
      <c r="H21" s="1"/>
    </row>
    <row r="22" spans="1:12" ht="15.75" customHeight="1" x14ac:dyDescent="0.3">
      <c r="A22" s="144" t="s">
        <v>60</v>
      </c>
      <c r="B22" s="144"/>
      <c r="C22" s="76">
        <v>25336.25</v>
      </c>
      <c r="D22" s="76">
        <v>131423.75</v>
      </c>
      <c r="E22" s="5">
        <f t="shared" si="1"/>
        <v>-106087.5</v>
      </c>
      <c r="F22" s="5"/>
      <c r="G22" s="23" t="s">
        <v>197</v>
      </c>
      <c r="H22" s="1"/>
    </row>
    <row r="23" spans="1:12" ht="15.75" customHeight="1" x14ac:dyDescent="0.3">
      <c r="A23" s="144" t="s">
        <v>59</v>
      </c>
      <c r="B23" s="144"/>
      <c r="C23" s="76">
        <v>277421.8</v>
      </c>
      <c r="D23" s="76">
        <v>278819.81</v>
      </c>
      <c r="E23" s="5">
        <f t="shared" si="1"/>
        <v>-1398.0100000000093</v>
      </c>
      <c r="F23" s="5"/>
      <c r="G23" s="23"/>
      <c r="H23" s="1"/>
    </row>
    <row r="24" spans="1:12" ht="15.75" customHeight="1" x14ac:dyDescent="0.3">
      <c r="A24" s="144" t="s">
        <v>58</v>
      </c>
      <c r="B24" s="144"/>
      <c r="C24" s="76">
        <v>24080.58</v>
      </c>
      <c r="D24" s="76">
        <v>24806</v>
      </c>
      <c r="E24" s="5">
        <f t="shared" si="1"/>
        <v>-725.41999999999825</v>
      </c>
      <c r="F24" s="5"/>
      <c r="G24" s="23"/>
      <c r="H24" s="1"/>
    </row>
    <row r="25" spans="1:12" ht="15.75" customHeight="1" x14ac:dyDescent="0.3">
      <c r="A25" s="144" t="s">
        <v>78</v>
      </c>
      <c r="B25" s="144"/>
      <c r="C25" s="76">
        <v>750</v>
      </c>
      <c r="D25" s="76">
        <v>2750</v>
      </c>
      <c r="E25" s="5">
        <f t="shared" si="1"/>
        <v>-2000</v>
      </c>
      <c r="F25" s="5"/>
      <c r="G25" s="23"/>
      <c r="H25" s="1"/>
    </row>
    <row r="26" spans="1:12" ht="15.75" customHeight="1" x14ac:dyDescent="0.3">
      <c r="A26" s="144" t="s">
        <v>57</v>
      </c>
      <c r="B26" s="144"/>
      <c r="C26" s="76">
        <v>8204.98</v>
      </c>
      <c r="D26" s="76">
        <v>11994</v>
      </c>
      <c r="E26" s="5">
        <f t="shared" si="1"/>
        <v>-3789.0200000000004</v>
      </c>
      <c r="F26" s="5"/>
      <c r="G26" s="23"/>
      <c r="H26" s="1"/>
      <c r="L26" s="45"/>
    </row>
    <row r="27" spans="1:12" ht="15.75" customHeight="1" x14ac:dyDescent="0.3">
      <c r="A27" s="144" t="s">
        <v>56</v>
      </c>
      <c r="B27" s="144"/>
      <c r="C27" s="76">
        <v>100</v>
      </c>
      <c r="D27" s="76">
        <v>2629</v>
      </c>
      <c r="E27" s="5">
        <f t="shared" si="1"/>
        <v>-2529</v>
      </c>
      <c r="F27" s="5"/>
      <c r="G27" s="23"/>
      <c r="H27" s="1"/>
    </row>
    <row r="28" spans="1:12" ht="15.75" customHeight="1" x14ac:dyDescent="0.3">
      <c r="A28" s="144" t="s">
        <v>55</v>
      </c>
      <c r="B28" s="144"/>
      <c r="C28" s="76">
        <v>2276.36</v>
      </c>
      <c r="D28" s="76">
        <v>1800</v>
      </c>
      <c r="E28" s="5">
        <f t="shared" si="1"/>
        <v>476.36000000000013</v>
      </c>
      <c r="F28" s="5"/>
      <c r="G28" s="23"/>
      <c r="H28" s="1"/>
    </row>
    <row r="29" spans="1:12" ht="15.75" customHeight="1" x14ac:dyDescent="0.3">
      <c r="A29" s="144" t="s">
        <v>77</v>
      </c>
      <c r="B29" s="144"/>
      <c r="C29" s="76">
        <v>7160.1</v>
      </c>
      <c r="D29" s="76">
        <v>11206</v>
      </c>
      <c r="E29" s="5">
        <f t="shared" si="1"/>
        <v>-4045.8999999999996</v>
      </c>
      <c r="F29" s="5"/>
      <c r="G29" s="23"/>
      <c r="H29" s="1"/>
    </row>
    <row r="30" spans="1:12" ht="15.75" customHeight="1" x14ac:dyDescent="0.3">
      <c r="A30" s="3" t="s">
        <v>122</v>
      </c>
      <c r="B30" s="3"/>
      <c r="C30" s="76">
        <v>10125.870000000001</v>
      </c>
      <c r="D30" s="76">
        <v>4017.27</v>
      </c>
      <c r="E30" s="5">
        <f t="shared" si="1"/>
        <v>6108.6</v>
      </c>
      <c r="F30" s="5"/>
      <c r="G30" s="23"/>
      <c r="H30" s="1"/>
    </row>
    <row r="31" spans="1:12" ht="15.75" customHeight="1" x14ac:dyDescent="0.3">
      <c r="A31" s="144" t="s">
        <v>54</v>
      </c>
      <c r="B31" s="144"/>
      <c r="C31" s="76">
        <v>5555.35</v>
      </c>
      <c r="D31" s="76">
        <v>21309</v>
      </c>
      <c r="E31" s="5">
        <f t="shared" si="1"/>
        <v>-15753.65</v>
      </c>
      <c r="F31" s="5"/>
      <c r="G31" s="23"/>
      <c r="H31" s="1"/>
    </row>
    <row r="32" spans="1:12" ht="15.75" customHeight="1" x14ac:dyDescent="0.3">
      <c r="A32" s="144" t="s">
        <v>53</v>
      </c>
      <c r="B32" s="144"/>
      <c r="C32" s="76">
        <v>21800.12</v>
      </c>
      <c r="D32" s="76">
        <v>18405</v>
      </c>
      <c r="E32" s="5">
        <f t="shared" si="1"/>
        <v>3395.119999999999</v>
      </c>
      <c r="F32" s="5"/>
      <c r="G32" s="23"/>
      <c r="H32" s="1"/>
    </row>
    <row r="33" spans="1:9" ht="15.75" customHeight="1" x14ac:dyDescent="0.3">
      <c r="A33" s="144" t="s">
        <v>52</v>
      </c>
      <c r="B33" s="144"/>
      <c r="C33" s="76">
        <v>20760.91</v>
      </c>
      <c r="D33" s="76">
        <v>27300</v>
      </c>
      <c r="E33" s="5">
        <f t="shared" si="1"/>
        <v>-6539.09</v>
      </c>
      <c r="F33" s="5"/>
      <c r="G33" s="23"/>
      <c r="H33" s="1"/>
    </row>
    <row r="34" spans="1:9" ht="15.75" customHeight="1" x14ac:dyDescent="0.3">
      <c r="A34" s="144" t="s">
        <v>51</v>
      </c>
      <c r="B34" s="144"/>
      <c r="C34" s="76">
        <v>0</v>
      </c>
      <c r="D34" s="76">
        <v>2000</v>
      </c>
      <c r="E34" s="5">
        <f t="shared" si="1"/>
        <v>-2000</v>
      </c>
      <c r="F34" s="5"/>
      <c r="G34" s="23"/>
      <c r="H34" s="1"/>
    </row>
    <row r="35" spans="1:9" ht="15.75" customHeight="1" x14ac:dyDescent="0.3">
      <c r="A35" s="144" t="s">
        <v>50</v>
      </c>
      <c r="B35" s="144"/>
      <c r="C35" s="76">
        <v>34069.199999999997</v>
      </c>
      <c r="D35" s="76">
        <v>33958</v>
      </c>
      <c r="E35" s="5">
        <f t="shared" si="1"/>
        <v>111.19999999999709</v>
      </c>
      <c r="F35" s="5"/>
      <c r="G35" s="23"/>
      <c r="H35" s="1"/>
    </row>
    <row r="36" spans="1:9" ht="15.75" customHeight="1" x14ac:dyDescent="0.3">
      <c r="A36" s="144" t="s">
        <v>49</v>
      </c>
      <c r="B36" s="144"/>
      <c r="C36" s="76">
        <v>76905.47</v>
      </c>
      <c r="D36" s="76">
        <v>72033</v>
      </c>
      <c r="E36" s="5">
        <f t="shared" si="1"/>
        <v>4872.4700000000012</v>
      </c>
      <c r="F36" s="5"/>
      <c r="G36" s="23"/>
      <c r="H36" s="1"/>
    </row>
    <row r="37" spans="1:9" ht="15.75" customHeight="1" x14ac:dyDescent="0.3">
      <c r="A37" s="144" t="s">
        <v>48</v>
      </c>
      <c r="B37" s="144"/>
      <c r="C37" s="76">
        <v>11905.95</v>
      </c>
      <c r="D37" s="76">
        <v>13807</v>
      </c>
      <c r="E37" s="5">
        <f t="shared" si="1"/>
        <v>-1901.0499999999993</v>
      </c>
      <c r="F37" s="5"/>
      <c r="G37" s="23"/>
      <c r="H37" s="1"/>
    </row>
    <row r="38" spans="1:9" ht="15.75" customHeight="1" x14ac:dyDescent="0.3">
      <c r="A38" s="144" t="s">
        <v>47</v>
      </c>
      <c r="B38" s="144"/>
      <c r="C38" s="76">
        <v>46135.57</v>
      </c>
      <c r="D38" s="76">
        <v>54470</v>
      </c>
      <c r="E38" s="5">
        <f t="shared" si="1"/>
        <v>-8334.43</v>
      </c>
      <c r="F38" s="5"/>
      <c r="G38" s="23" t="s">
        <v>198</v>
      </c>
      <c r="H38" s="1"/>
    </row>
    <row r="39" spans="1:9" ht="15.75" customHeight="1" x14ac:dyDescent="0.3">
      <c r="A39" s="144" t="s">
        <v>146</v>
      </c>
      <c r="B39" s="144"/>
      <c r="C39" s="76">
        <v>428.75</v>
      </c>
      <c r="D39" s="76">
        <v>220</v>
      </c>
      <c r="E39" s="5">
        <f t="shared" si="1"/>
        <v>208.75</v>
      </c>
      <c r="F39" s="5"/>
      <c r="G39" s="23"/>
      <c r="H39" s="1"/>
    </row>
    <row r="40" spans="1:9" ht="15.75" customHeight="1" x14ac:dyDescent="0.3">
      <c r="A40" s="144" t="s">
        <v>46</v>
      </c>
      <c r="B40" s="144"/>
      <c r="C40" s="76">
        <v>17460.63</v>
      </c>
      <c r="D40" s="76">
        <v>28200</v>
      </c>
      <c r="E40" s="5">
        <f t="shared" si="1"/>
        <v>-10739.369999999999</v>
      </c>
      <c r="F40" s="5"/>
      <c r="G40" s="23" t="s">
        <v>199</v>
      </c>
      <c r="H40" s="1"/>
    </row>
    <row r="41" spans="1:9" ht="15.75" customHeight="1" x14ac:dyDescent="0.3">
      <c r="A41" s="144" t="s">
        <v>45</v>
      </c>
      <c r="B41" s="144"/>
      <c r="C41" s="76">
        <v>4941.8100000000004</v>
      </c>
      <c r="D41" s="76">
        <v>13466</v>
      </c>
      <c r="E41" s="5">
        <f t="shared" si="1"/>
        <v>-8524.1899999999987</v>
      </c>
      <c r="F41" s="5"/>
      <c r="G41" s="23"/>
      <c r="H41" s="1"/>
      <c r="I41" s="45"/>
    </row>
    <row r="42" spans="1:9" ht="15.75" customHeight="1" x14ac:dyDescent="0.3">
      <c r="A42" s="144" t="s">
        <v>44</v>
      </c>
      <c r="B42" s="144"/>
      <c r="C42" s="76">
        <v>30402.13</v>
      </c>
      <c r="D42" s="76">
        <v>41788.870000000003</v>
      </c>
      <c r="E42" s="5">
        <f t="shared" si="1"/>
        <v>-11386.740000000002</v>
      </c>
      <c r="F42" s="5"/>
      <c r="G42" s="23"/>
      <c r="H42" s="1"/>
    </row>
    <row r="43" spans="1:9" ht="15.75" customHeight="1" x14ac:dyDescent="0.3">
      <c r="A43" s="144" t="s">
        <v>76</v>
      </c>
      <c r="B43" s="144"/>
      <c r="C43" s="76">
        <v>89708.97</v>
      </c>
      <c r="D43" s="76">
        <v>8662</v>
      </c>
      <c r="E43" s="5">
        <f t="shared" si="1"/>
        <v>81046.97</v>
      </c>
      <c r="F43" s="5"/>
      <c r="G43" s="23" t="s">
        <v>200</v>
      </c>
      <c r="H43" s="1"/>
    </row>
    <row r="44" spans="1:9" ht="15.75" customHeight="1" x14ac:dyDescent="0.3">
      <c r="A44" s="3" t="s">
        <v>138</v>
      </c>
      <c r="B44" s="3"/>
      <c r="C44" s="76">
        <v>750</v>
      </c>
      <c r="D44" s="76">
        <v>18985</v>
      </c>
      <c r="E44" s="5">
        <f t="shared" si="1"/>
        <v>-18235</v>
      </c>
      <c r="F44" s="5"/>
      <c r="G44" s="23" t="s">
        <v>201</v>
      </c>
      <c r="H44" s="1"/>
    </row>
    <row r="45" spans="1:9" ht="15.75" customHeight="1" x14ac:dyDescent="0.3">
      <c r="A45" s="3" t="s">
        <v>125</v>
      </c>
      <c r="B45" s="3"/>
      <c r="C45" s="76">
        <v>102512.33</v>
      </c>
      <c r="D45" s="76">
        <v>104000</v>
      </c>
      <c r="E45" s="5">
        <f t="shared" si="1"/>
        <v>-1487.6699999999983</v>
      </c>
      <c r="F45" s="5"/>
      <c r="G45" s="23"/>
      <c r="H45" s="1"/>
    </row>
    <row r="46" spans="1:9" ht="15.75" customHeight="1" x14ac:dyDescent="0.3">
      <c r="A46" s="144" t="s">
        <v>24</v>
      </c>
      <c r="B46" s="144"/>
      <c r="C46" s="44">
        <f>SUM(C16:C45)</f>
        <v>3270438.6300000013</v>
      </c>
      <c r="D46" s="8">
        <f>SUM(D16:D45)</f>
        <v>3677000</v>
      </c>
      <c r="E46" s="8">
        <f>SUM(E16:E45)</f>
        <v>-406561.37000000005</v>
      </c>
      <c r="F46" s="9"/>
      <c r="G46" s="48"/>
      <c r="H46" s="45"/>
    </row>
    <row r="47" spans="1:9" ht="15.75" customHeight="1" x14ac:dyDescent="0.3">
      <c r="C47" s="7"/>
      <c r="D47" s="7"/>
      <c r="E47" s="7"/>
      <c r="F47" s="7"/>
      <c r="G47" s="23"/>
      <c r="H47" s="45"/>
    </row>
    <row r="48" spans="1:9" ht="15.75" customHeight="1" thickBot="1" x14ac:dyDescent="0.35">
      <c r="A48" s="146" t="s">
        <v>144</v>
      </c>
      <c r="B48" s="146"/>
      <c r="C48" s="17">
        <f>C13-C46</f>
        <v>121332.11999999871</v>
      </c>
      <c r="D48" s="17">
        <f t="shared" ref="D48:E48" si="2">D13-D46</f>
        <v>-402000</v>
      </c>
      <c r="E48" s="17">
        <f t="shared" si="2"/>
        <v>523332.11999999976</v>
      </c>
      <c r="F48" s="72"/>
      <c r="G48" s="23"/>
      <c r="H48" s="45"/>
    </row>
    <row r="49" spans="1:8" ht="15.75" customHeight="1" thickTop="1" x14ac:dyDescent="0.3"/>
    <row r="50" spans="1:8" ht="17.25" thickBot="1" x14ac:dyDescent="0.35"/>
    <row r="51" spans="1:8" s="22" customFormat="1" ht="15" x14ac:dyDescent="0.25">
      <c r="A51" s="62" t="s">
        <v>134</v>
      </c>
      <c r="B51" s="63"/>
      <c r="C51" s="64"/>
      <c r="D51" s="64"/>
      <c r="E51" s="63"/>
      <c r="F51" s="63"/>
      <c r="G51" s="63"/>
      <c r="H51" s="65"/>
    </row>
    <row r="52" spans="1:8" s="22" customFormat="1" ht="15" x14ac:dyDescent="0.25">
      <c r="A52" s="66"/>
      <c r="C52" s="97"/>
      <c r="D52" s="97"/>
      <c r="H52" s="98"/>
    </row>
    <row r="53" spans="1:8" x14ac:dyDescent="0.3">
      <c r="A53" s="99" t="s">
        <v>161</v>
      </c>
      <c r="C53" s="45">
        <v>2500000</v>
      </c>
      <c r="D53" s="45"/>
      <c r="H53" s="67"/>
    </row>
    <row r="54" spans="1:8" x14ac:dyDescent="0.3">
      <c r="A54" s="99" t="s">
        <v>176</v>
      </c>
      <c r="C54" s="45">
        <v>1000000</v>
      </c>
      <c r="D54" s="45"/>
      <c r="H54" s="67"/>
    </row>
    <row r="55" spans="1:8" x14ac:dyDescent="0.3">
      <c r="A55" s="68"/>
      <c r="H55" s="67"/>
    </row>
    <row r="56" spans="1:8" x14ac:dyDescent="0.3">
      <c r="A56" s="66" t="s">
        <v>195</v>
      </c>
      <c r="H56" s="67"/>
    </row>
    <row r="57" spans="1:8" x14ac:dyDescent="0.3">
      <c r="A57" s="68" t="s">
        <v>143</v>
      </c>
      <c r="C57" s="69">
        <v>33260.300000000003</v>
      </c>
      <c r="H57" s="67"/>
    </row>
    <row r="58" spans="1:8" x14ac:dyDescent="0.3">
      <c r="A58" s="68" t="s">
        <v>135</v>
      </c>
      <c r="C58" s="61">
        <v>33260.300000000003</v>
      </c>
      <c r="D58" s="23" t="s">
        <v>139</v>
      </c>
      <c r="H58" s="67"/>
    </row>
    <row r="59" spans="1:8" x14ac:dyDescent="0.3">
      <c r="A59" s="68"/>
      <c r="C59" s="69">
        <f>SUM(C57:C58)</f>
        <v>66520.600000000006</v>
      </c>
      <c r="D59" s="23"/>
      <c r="H59" s="67"/>
    </row>
    <row r="60" spans="1:8" x14ac:dyDescent="0.3">
      <c r="A60" s="68"/>
      <c r="C60" s="69"/>
      <c r="D60" s="23"/>
      <c r="H60" s="67"/>
    </row>
    <row r="61" spans="1:8" x14ac:dyDescent="0.3">
      <c r="A61" s="68" t="s">
        <v>196</v>
      </c>
      <c r="C61" s="69">
        <v>-209015</v>
      </c>
      <c r="D61" s="23"/>
      <c r="H61" s="67"/>
    </row>
    <row r="62" spans="1:8" x14ac:dyDescent="0.3">
      <c r="A62" s="68"/>
      <c r="C62" s="69"/>
      <c r="D62" s="23"/>
      <c r="H62" s="67"/>
    </row>
    <row r="63" spans="1:8" x14ac:dyDescent="0.3">
      <c r="A63" s="68" t="s">
        <v>171</v>
      </c>
      <c r="C63" s="69">
        <f>'Stmt Activities'!D30</f>
        <v>342654.97</v>
      </c>
      <c r="D63" s="23"/>
      <c r="H63" s="67"/>
    </row>
    <row r="64" spans="1:8" x14ac:dyDescent="0.3">
      <c r="A64" s="68"/>
      <c r="C64" s="45"/>
      <c r="H64" s="67"/>
    </row>
    <row r="65" spans="1:8" x14ac:dyDescent="0.3">
      <c r="A65" s="68" t="s">
        <v>168</v>
      </c>
      <c r="C65" s="45">
        <v>84690</v>
      </c>
      <c r="H65" s="67"/>
    </row>
    <row r="66" spans="1:8" x14ac:dyDescent="0.3">
      <c r="A66" s="68" t="s">
        <v>169</v>
      </c>
      <c r="C66" s="45">
        <f>80000+3940+125+295+55+90+75+110</f>
        <v>84690</v>
      </c>
      <c r="H66" s="67"/>
    </row>
    <row r="67" spans="1:8" ht="17.25" thickBot="1" x14ac:dyDescent="0.35">
      <c r="A67" s="68"/>
      <c r="C67" s="45"/>
      <c r="H67" s="67"/>
    </row>
    <row r="68" spans="1:8" x14ac:dyDescent="0.3">
      <c r="A68" s="68"/>
      <c r="B68" s="45"/>
      <c r="C68" s="137">
        <f>C13+C53+C54+C57+C63+C65+C61</f>
        <v>7143361.0199999996</v>
      </c>
      <c r="D68" s="141" t="s">
        <v>140</v>
      </c>
      <c r="G68" s="73"/>
      <c r="H68" s="67"/>
    </row>
    <row r="69" spans="1:8" x14ac:dyDescent="0.3">
      <c r="A69" s="68"/>
      <c r="C69" s="138">
        <f>C46+C57</f>
        <v>3303698.9300000011</v>
      </c>
      <c r="D69" s="142" t="s">
        <v>24</v>
      </c>
      <c r="G69" s="73"/>
      <c r="H69" s="67"/>
    </row>
    <row r="70" spans="1:8" ht="17.25" thickBot="1" x14ac:dyDescent="0.35">
      <c r="A70" s="68"/>
      <c r="C70" s="139">
        <f>C68-C69</f>
        <v>3839662.0899999985</v>
      </c>
      <c r="D70" s="140"/>
      <c r="G70" s="73"/>
      <c r="H70" s="67"/>
    </row>
    <row r="71" spans="1:8" x14ac:dyDescent="0.3">
      <c r="A71" s="68"/>
      <c r="H71" s="67"/>
    </row>
    <row r="72" spans="1:8" ht="17.25" thickBot="1" x14ac:dyDescent="0.35">
      <c r="A72" s="89" t="s">
        <v>145</v>
      </c>
      <c r="B72" s="90"/>
      <c r="C72" s="91">
        <f>C70</f>
        <v>3839662.0899999985</v>
      </c>
      <c r="D72" s="90"/>
      <c r="E72" s="90"/>
      <c r="F72" s="90"/>
      <c r="G72" s="90"/>
      <c r="H72" s="92"/>
    </row>
    <row r="75" spans="1:8" x14ac:dyDescent="0.3">
      <c r="C75" s="45"/>
    </row>
    <row r="76" spans="1:8" s="22" customFormat="1" x14ac:dyDescent="0.3">
      <c r="A76" s="1"/>
      <c r="B76" s="1"/>
      <c r="C76" s="45"/>
      <c r="D76" s="1"/>
      <c r="E76" s="1"/>
      <c r="F76" s="1"/>
      <c r="G76" s="1"/>
      <c r="H76" s="23"/>
    </row>
    <row r="79" spans="1:8" x14ac:dyDescent="0.3">
      <c r="C79" s="45">
        <f>C69-'Stmt Activities'!F28</f>
        <v>0</v>
      </c>
    </row>
  </sheetData>
  <mergeCells count="41">
    <mergeCell ref="A48:B48"/>
    <mergeCell ref="A38:B38"/>
    <mergeCell ref="A40:B40"/>
    <mergeCell ref="A41:B41"/>
    <mergeCell ref="A42:B42"/>
    <mergeCell ref="A43:B43"/>
    <mergeCell ref="A34:B34"/>
    <mergeCell ref="A35:B35"/>
    <mergeCell ref="A36:B36"/>
    <mergeCell ref="A37:B37"/>
    <mergeCell ref="A46:B46"/>
    <mergeCell ref="A39:B39"/>
    <mergeCell ref="A28:B28"/>
    <mergeCell ref="A29:B29"/>
    <mergeCell ref="A31:B31"/>
    <mergeCell ref="A32:B32"/>
    <mergeCell ref="A33:B33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:E1"/>
    <mergeCell ref="A2:E2"/>
    <mergeCell ref="A3:E3"/>
    <mergeCell ref="A4:E4"/>
    <mergeCell ref="A5:B5"/>
    <mergeCell ref="A13:B13"/>
    <mergeCell ref="A15:B15"/>
    <mergeCell ref="A16:B16"/>
    <mergeCell ref="A6:B6"/>
    <mergeCell ref="A7:B7"/>
    <mergeCell ref="A8:B8"/>
    <mergeCell ref="A9:B9"/>
    <mergeCell ref="A10:B10"/>
    <mergeCell ref="A12:B12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I12" sqref="I12"/>
    </sheetView>
  </sheetViews>
  <sheetFormatPr defaultRowHeight="16.5" x14ac:dyDescent="0.3"/>
  <cols>
    <col min="1" max="1" width="5.28515625" style="28" customWidth="1"/>
    <col min="2" max="2" width="5.5703125" style="28" customWidth="1"/>
    <col min="3" max="3" width="50.28515625" style="28" customWidth="1"/>
    <col min="4" max="4" width="12.5703125" style="28" customWidth="1"/>
    <col min="5" max="5" width="2" style="28" customWidth="1"/>
    <col min="6" max="6" width="9.140625" style="38"/>
    <col min="7" max="7" width="11.5703125" style="28" bestFit="1" customWidth="1"/>
    <col min="8" max="16384" width="9.140625" style="28"/>
  </cols>
  <sheetData>
    <row r="1" spans="1:7" s="26" customFormat="1" ht="17.25" x14ac:dyDescent="0.3">
      <c r="A1" s="26" t="s">
        <v>112</v>
      </c>
      <c r="F1" s="27"/>
    </row>
    <row r="3" spans="1:7" x14ac:dyDescent="0.3">
      <c r="D3" s="29">
        <v>45838</v>
      </c>
      <c r="E3" s="30"/>
      <c r="F3" s="31"/>
    </row>
    <row r="4" spans="1:7" x14ac:dyDescent="0.3">
      <c r="B4" s="28" t="s">
        <v>152</v>
      </c>
      <c r="D4" s="93">
        <v>1152623.51</v>
      </c>
      <c r="E4" s="33"/>
      <c r="F4" s="31"/>
    </row>
    <row r="5" spans="1:7" x14ac:dyDescent="0.3">
      <c r="D5" s="32"/>
      <c r="E5" s="33"/>
      <c r="F5" s="31"/>
    </row>
    <row r="6" spans="1:7" x14ac:dyDescent="0.3">
      <c r="C6" s="28" t="s">
        <v>113</v>
      </c>
      <c r="D6" s="32">
        <v>3587403</v>
      </c>
      <c r="E6" s="33"/>
      <c r="F6" s="31"/>
    </row>
    <row r="7" spans="1:7" x14ac:dyDescent="0.3">
      <c r="C7" s="28" t="s">
        <v>114</v>
      </c>
      <c r="D7" s="32">
        <v>-37399</v>
      </c>
      <c r="E7" s="33"/>
      <c r="F7" s="31" t="s">
        <v>194</v>
      </c>
    </row>
    <row r="8" spans="1:7" x14ac:dyDescent="0.3">
      <c r="C8" s="28" t="s">
        <v>115</v>
      </c>
      <c r="D8" s="32">
        <v>428050.68</v>
      </c>
      <c r="E8" s="33"/>
      <c r="F8" s="31"/>
    </row>
    <row r="9" spans="1:7" x14ac:dyDescent="0.3">
      <c r="C9" s="28" t="s">
        <v>116</v>
      </c>
      <c r="D9" s="32">
        <v>-134904.09000000008</v>
      </c>
      <c r="E9" s="33"/>
      <c r="F9" s="31"/>
    </row>
    <row r="10" spans="1:7" x14ac:dyDescent="0.3">
      <c r="C10" s="28" t="s">
        <v>117</v>
      </c>
      <c r="D10" s="32">
        <v>62933.520000000004</v>
      </c>
      <c r="E10" s="33"/>
      <c r="F10" s="31"/>
    </row>
    <row r="11" spans="1:7" x14ac:dyDescent="0.3">
      <c r="C11" s="28" t="s">
        <v>118</v>
      </c>
      <c r="D11" s="34">
        <v>-13425.14</v>
      </c>
      <c r="E11" s="35"/>
      <c r="F11" s="31"/>
    </row>
    <row r="12" spans="1:7" x14ac:dyDescent="0.3">
      <c r="D12" s="32"/>
      <c r="E12" s="33"/>
      <c r="F12" s="31"/>
    </row>
    <row r="13" spans="1:7" x14ac:dyDescent="0.3">
      <c r="B13" s="28" t="s">
        <v>119</v>
      </c>
      <c r="D13" s="36">
        <f>SUM(D4:D11)</f>
        <v>5045282.4799999995</v>
      </c>
      <c r="E13" s="36">
        <f t="shared" ref="E13" si="0">SUM(E4:E11)</f>
        <v>0</v>
      </c>
      <c r="F13" s="31"/>
      <c r="G13" s="37"/>
    </row>
    <row r="14" spans="1:7" x14ac:dyDescent="0.3">
      <c r="G14" s="39"/>
    </row>
    <row r="15" spans="1:7" s="38" customFormat="1" ht="14.25" x14ac:dyDescent="0.2"/>
    <row r="17" spans="4:7" x14ac:dyDescent="0.3">
      <c r="D17" s="40"/>
      <c r="G17" s="40"/>
    </row>
    <row r="18" spans="4:7" x14ac:dyDescent="0.3">
      <c r="D18" s="39"/>
    </row>
    <row r="21" spans="4:7" x14ac:dyDescent="0.3">
      <c r="G21" s="39"/>
    </row>
    <row r="22" spans="4:7" x14ac:dyDescent="0.3">
      <c r="G22" s="39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Net Asset Changes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Net Asset Changes'!Print_Area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2025-08-29T18:36:09Z</cp:lastPrinted>
  <dcterms:created xsi:type="dcterms:W3CDTF">2023-09-08T19:08:44Z</dcterms:created>
  <dcterms:modified xsi:type="dcterms:W3CDTF">2025-09-09T14:40:55Z</dcterms:modified>
</cp:coreProperties>
</file>