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 Restricted\Finance Committee\2024-2025\May 12, 2025\"/>
    </mc:Choice>
  </mc:AlternateContent>
  <xr:revisionPtr revIDLastSave="0" documentId="13_ncr:1_{18DF7C77-4847-40F0-A74A-E627C05A2EF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nancial Position" sheetId="1" r:id="rId1"/>
    <sheet name="Stmt Activities" sheetId="2" r:id="rId2"/>
    <sheet name="Functional Exp" sheetId="3" r:id="rId3"/>
    <sheet name="Restricted Detail" sheetId="5" r:id="rId4"/>
    <sheet name="Budget variance" sheetId="4" r:id="rId5"/>
    <sheet name="Endowment" sheetId="7" r:id="rId6"/>
  </sheets>
  <definedNames>
    <definedName name="AS2DocOpenMode" hidden="1">"AS2DocumentEdit"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'Budget variance'!$A$1:$H$68</definedName>
    <definedName name="_xlnm.Print_Area" localSheetId="5">Endowment!$A$1:$D$15</definedName>
    <definedName name="_xlnm.Print_Area" localSheetId="0">'Financial Position'!$A$1:$F$32</definedName>
    <definedName name="_xlnm.Print_Area" localSheetId="2">'Functional Exp'!$A$1:$L$43</definedName>
    <definedName name="_xlnm.Print_Area" localSheetId="3">'Restricted Detail'!$A$1:$G$40</definedName>
    <definedName name="_xlnm.Print_Area" localSheetId="1">'Stmt Activities'!$A$1:$J$36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5" l="1"/>
  <c r="D28" i="5"/>
  <c r="C23" i="4" l="1"/>
  <c r="C43" i="4"/>
  <c r="C17" i="4"/>
  <c r="C11" i="4"/>
  <c r="C9" i="4" l="1"/>
  <c r="C7" i="4"/>
  <c r="H13" i="2" l="1"/>
  <c r="D13" i="2"/>
  <c r="F32" i="1"/>
  <c r="F24" i="1"/>
  <c r="C60" i="4"/>
  <c r="C12" i="4" s="1"/>
  <c r="D29" i="2"/>
  <c r="B37" i="3" l="1"/>
  <c r="C37" i="3"/>
  <c r="D37" i="3"/>
  <c r="F37" i="3"/>
  <c r="G37" i="3"/>
  <c r="E10" i="5" l="1"/>
  <c r="F40" i="5"/>
  <c r="G34" i="5"/>
  <c r="E32" i="5"/>
  <c r="E15" i="5"/>
  <c r="E11" i="5"/>
  <c r="F6" i="5"/>
  <c r="F25" i="5"/>
  <c r="G25" i="5" s="1"/>
  <c r="C13" i="5"/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D5" i="5"/>
  <c r="F12" i="2" l="1"/>
  <c r="C63" i="4" l="1"/>
  <c r="E29" i="5"/>
  <c r="C13" i="4" l="1"/>
  <c r="C65" i="4" s="1"/>
  <c r="C46" i="4"/>
  <c r="C66" i="4" s="1"/>
  <c r="D46" i="4"/>
  <c r="F20" i="1"/>
  <c r="C67" i="4" l="1"/>
  <c r="C40" i="5"/>
  <c r="F14" i="1" l="1"/>
  <c r="H15" i="2"/>
  <c r="D14" i="1" l="1"/>
  <c r="F31" i="2" l="1"/>
  <c r="F29" i="2"/>
  <c r="D20" i="1"/>
  <c r="E12" i="4" l="1"/>
  <c r="F25" i="1" l="1"/>
  <c r="G46" i="4" l="1"/>
  <c r="G13" i="4"/>
  <c r="G48" i="4" l="1"/>
  <c r="K37" i="3"/>
  <c r="G35" i="5" l="1"/>
  <c r="G30" i="5"/>
  <c r="G29" i="5"/>
  <c r="G28" i="5"/>
  <c r="G31" i="5"/>
  <c r="G32" i="5"/>
  <c r="G33" i="5"/>
  <c r="G36" i="5"/>
  <c r="G37" i="5"/>
  <c r="G38" i="5"/>
  <c r="G39" i="5"/>
  <c r="E11" i="4" l="1"/>
  <c r="E8" i="4"/>
  <c r="E9" i="4"/>
  <c r="E10" i="4"/>
  <c r="D13" i="4"/>
  <c r="E17" i="4" l="1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I30" i="3" s="1"/>
  <c r="L30" i="3" s="1"/>
  <c r="H31" i="3"/>
  <c r="H32" i="3"/>
  <c r="H33" i="3"/>
  <c r="H34" i="3"/>
  <c r="H35" i="3"/>
  <c r="I35" i="3" s="1"/>
  <c r="L35" i="3" s="1"/>
  <c r="H36" i="3"/>
  <c r="D40" i="5" l="1"/>
  <c r="E40" i="5"/>
  <c r="C58" i="4" l="1"/>
  <c r="C68" i="4" l="1"/>
  <c r="F8" i="2"/>
  <c r="F9" i="2"/>
  <c r="F10" i="2"/>
  <c r="F11" i="2"/>
  <c r="F13" i="2"/>
  <c r="H26" i="2" l="1"/>
  <c r="H22" i="2"/>
  <c r="H27" i="2" l="1"/>
  <c r="H33" i="2" s="1"/>
  <c r="H35" i="2" l="1"/>
  <c r="E9" i="3" l="1"/>
  <c r="I9" i="3" s="1"/>
  <c r="L9" i="3" s="1"/>
  <c r="E10" i="3"/>
  <c r="I10" i="3" s="1"/>
  <c r="L10" i="3" s="1"/>
  <c r="E11" i="3"/>
  <c r="I11" i="3" s="1"/>
  <c r="L11" i="3" s="1"/>
  <c r="E12" i="3"/>
  <c r="I12" i="3" s="1"/>
  <c r="L12" i="3" s="1"/>
  <c r="E13" i="3"/>
  <c r="I13" i="3" s="1"/>
  <c r="L13" i="3" s="1"/>
  <c r="E36" i="3" l="1"/>
  <c r="E14" i="3"/>
  <c r="I14" i="3" s="1"/>
  <c r="L14" i="3" s="1"/>
  <c r="E15" i="3"/>
  <c r="I15" i="3" s="1"/>
  <c r="L15" i="3" s="1"/>
  <c r="E16" i="3"/>
  <c r="I16" i="3" s="1"/>
  <c r="L16" i="3" s="1"/>
  <c r="E17" i="3"/>
  <c r="I17" i="3" s="1"/>
  <c r="L17" i="3" s="1"/>
  <c r="E18" i="3"/>
  <c r="I18" i="3" s="1"/>
  <c r="L18" i="3" s="1"/>
  <c r="E19" i="3"/>
  <c r="I19" i="3" s="1"/>
  <c r="L19" i="3" s="1"/>
  <c r="E20" i="3"/>
  <c r="I20" i="3" s="1"/>
  <c r="L20" i="3" s="1"/>
  <c r="E21" i="3"/>
  <c r="I21" i="3" s="1"/>
  <c r="L21" i="3" s="1"/>
  <c r="E22" i="3"/>
  <c r="I22" i="3" s="1"/>
  <c r="L22" i="3" s="1"/>
  <c r="E23" i="3"/>
  <c r="I23" i="3" s="1"/>
  <c r="L23" i="3" s="1"/>
  <c r="E24" i="3"/>
  <c r="I24" i="3" s="1"/>
  <c r="L24" i="3" s="1"/>
  <c r="E25" i="3"/>
  <c r="I25" i="3" s="1"/>
  <c r="L25" i="3" s="1"/>
  <c r="E26" i="3"/>
  <c r="I26" i="3" s="1"/>
  <c r="L26" i="3" s="1"/>
  <c r="E27" i="3"/>
  <c r="I27" i="3" s="1"/>
  <c r="L27" i="3" s="1"/>
  <c r="E28" i="3"/>
  <c r="I28" i="3" s="1"/>
  <c r="L28" i="3" s="1"/>
  <c r="E29" i="3"/>
  <c r="I29" i="3" s="1"/>
  <c r="L29" i="3" s="1"/>
  <c r="E31" i="3"/>
  <c r="I31" i="3" s="1"/>
  <c r="L31" i="3" s="1"/>
  <c r="E32" i="3"/>
  <c r="I32" i="3" s="1"/>
  <c r="L32" i="3" s="1"/>
  <c r="E33" i="3"/>
  <c r="I33" i="3" s="1"/>
  <c r="L33" i="3" s="1"/>
  <c r="E34" i="3"/>
  <c r="I34" i="3" s="1"/>
  <c r="L34" i="3" s="1"/>
  <c r="I36" i="3" l="1"/>
  <c r="L36" i="3" s="1"/>
  <c r="D25" i="2" l="1"/>
  <c r="F25" i="2" s="1"/>
  <c r="G41" i="3"/>
  <c r="D20" i="2"/>
  <c r="F20" i="2" s="1"/>
  <c r="C41" i="3"/>
  <c r="D19" i="2"/>
  <c r="F19" i="2" s="1"/>
  <c r="B41" i="3"/>
  <c r="D24" i="2"/>
  <c r="F24" i="2" s="1"/>
  <c r="F41" i="3"/>
  <c r="D21" i="2"/>
  <c r="F21" i="2" s="1"/>
  <c r="D41" i="3"/>
  <c r="F7" i="2"/>
  <c r="E41" i="3" l="1"/>
  <c r="H41" i="3"/>
  <c r="D26" i="2"/>
  <c r="F26" i="2" s="1"/>
  <c r="D22" i="2"/>
  <c r="F22" i="2" s="1"/>
  <c r="I41" i="3" l="1"/>
  <c r="D27" i="2"/>
  <c r="H8" i="3"/>
  <c r="E8" i="3"/>
  <c r="E37" i="3" s="1"/>
  <c r="I43" i="3" l="1"/>
  <c r="B43" i="3"/>
  <c r="D43" i="3"/>
  <c r="F43" i="3"/>
  <c r="C43" i="3"/>
  <c r="G43" i="3"/>
  <c r="E43" i="3"/>
  <c r="H43" i="3"/>
  <c r="F27" i="2"/>
  <c r="C75" i="4" s="1"/>
  <c r="H37" i="3"/>
  <c r="I8" i="3"/>
  <c r="E13" i="7"/>
  <c r="D13" i="7"/>
  <c r="E16" i="4"/>
  <c r="E46" i="4" s="1"/>
  <c r="D48" i="4"/>
  <c r="F27" i="1"/>
  <c r="F30" i="1" s="1"/>
  <c r="D25" i="1"/>
  <c r="L8" i="3" l="1"/>
  <c r="L37" i="3" s="1"/>
  <c r="I37" i="3"/>
  <c r="E7" i="4"/>
  <c r="E13" i="4" s="1"/>
  <c r="E48" i="4" s="1"/>
  <c r="E15" i="2" l="1"/>
  <c r="E33" i="2" s="1"/>
  <c r="E35" i="2" l="1"/>
  <c r="D29" i="1" s="1"/>
  <c r="F14" i="2"/>
  <c r="D15" i="2"/>
  <c r="D33" i="2" l="1"/>
  <c r="D35" i="2" s="1"/>
  <c r="D24" i="1" s="1"/>
  <c r="F15" i="2"/>
  <c r="F33" i="2" l="1"/>
  <c r="D27" i="1"/>
  <c r="D30" i="1" s="1"/>
  <c r="D32" i="1" s="1"/>
  <c r="C48" i="4"/>
  <c r="F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Viviano</author>
  </authors>
  <commentList>
    <comment ref="H20" authorId="0" shapeId="0" xr:uid="{6C6A68D6-2F52-44CB-BF9B-21ED330B15FF}">
      <text>
        <r>
          <rPr>
            <b/>
            <sz val="9"/>
            <color indexed="81"/>
            <rFont val="Tahoma"/>
            <family val="2"/>
          </rPr>
          <t>Stephanie Viviano:</t>
        </r>
        <r>
          <rPr>
            <sz val="9"/>
            <color indexed="81"/>
            <rFont val="Tahoma"/>
            <family val="2"/>
          </rPr>
          <t xml:space="preserve">
WINGS $236k
Disaster $250k</t>
        </r>
      </text>
    </comment>
  </commentList>
</comments>
</file>

<file path=xl/sharedStrings.xml><?xml version="1.0" encoding="utf-8"?>
<sst xmlns="http://schemas.openxmlformats.org/spreadsheetml/2006/main" count="233" uniqueCount="192">
  <si>
    <t>The Education Foundation of Collier County Inc.</t>
  </si>
  <si>
    <t>Statement of Financial Position</t>
  </si>
  <si>
    <t>Assets</t>
  </si>
  <si>
    <t xml:space="preserve">               Prepaid Scholarships</t>
  </si>
  <si>
    <t xml:space="preserve">               Other Prepaid Expenses</t>
  </si>
  <si>
    <t xml:space="preserve">               Endowment Fund (held at CCF)</t>
  </si>
  <si>
    <t xml:space="preserve">               Property and Equipment, net</t>
  </si>
  <si>
    <t>Total Assets</t>
  </si>
  <si>
    <t>Liabilities &amp; Net Assets</t>
  </si>
  <si>
    <t xml:space="preserve">     Liabilities</t>
  </si>
  <si>
    <t xml:space="preserve">     Total Liabilities</t>
  </si>
  <si>
    <t xml:space="preserve">     Net Assets</t>
  </si>
  <si>
    <t xml:space="preserve">          Without Donor Restrictions</t>
  </si>
  <si>
    <t xml:space="preserve">               Undesignated</t>
  </si>
  <si>
    <t xml:space="preserve">               Designated</t>
  </si>
  <si>
    <t xml:space="preserve">          Total Without Donor Restrictions</t>
  </si>
  <si>
    <t xml:space="preserve">          With Donor Restrictions</t>
  </si>
  <si>
    <t xml:space="preserve">     Total Net Assets</t>
  </si>
  <si>
    <t>Total Liabilities &amp; Net Assets</t>
  </si>
  <si>
    <t xml:space="preserve">               Investments at Schwab (Board Designated)</t>
  </si>
  <si>
    <t xml:space="preserve">               Investment in Property and Equipment</t>
  </si>
  <si>
    <t>ENDING FUND BALANCE</t>
  </si>
  <si>
    <t>NET SURPLUS/(DEFICIT)</t>
  </si>
  <si>
    <t>BEGINNING FUND BALANCE</t>
  </si>
  <si>
    <t>Total Expenses</t>
  </si>
  <si>
    <t xml:space="preserve">     Total Supporting Services</t>
  </si>
  <si>
    <t xml:space="preserve">          Fundraising</t>
  </si>
  <si>
    <t xml:space="preserve">          General &amp; Administration</t>
  </si>
  <si>
    <t xml:space="preserve">     Supporting Services</t>
  </si>
  <si>
    <t xml:space="preserve">     Total Program Expenses</t>
  </si>
  <si>
    <t xml:space="preserve">          Future Ready Collier</t>
  </si>
  <si>
    <t xml:space="preserve">          Educators &amp; Teachers</t>
  </si>
  <si>
    <t xml:space="preserve">          Students &amp; Families</t>
  </si>
  <si>
    <t xml:space="preserve">     Program Expenses</t>
  </si>
  <si>
    <t>Expenses</t>
  </si>
  <si>
    <t>Total Income</t>
  </si>
  <si>
    <t xml:space="preserve">          Released from Restriction</t>
  </si>
  <si>
    <t xml:space="preserve">          Corporate Revenue</t>
  </si>
  <si>
    <t xml:space="preserve">          Individual Contributions / Family Foundations</t>
  </si>
  <si>
    <t xml:space="preserve">          Governmental Grants</t>
  </si>
  <si>
    <t xml:space="preserve">          Foundation Revenue &amp; Grants</t>
  </si>
  <si>
    <t>Income</t>
  </si>
  <si>
    <t>Statement of Activities</t>
  </si>
  <si>
    <t>Restricted</t>
  </si>
  <si>
    <t xml:space="preserve">     Printing and Copying</t>
  </si>
  <si>
    <t xml:space="preserve">     Postage and Shipping</t>
  </si>
  <si>
    <t xml:space="preserve">     Payroll Processing Fees</t>
  </si>
  <si>
    <t xml:space="preserve">     Insurance</t>
  </si>
  <si>
    <t xml:space="preserve">     Financial Service Fees</t>
  </si>
  <si>
    <t xml:space="preserve">     Software Licenses</t>
  </si>
  <si>
    <t xml:space="preserve">     Telecommunications &amp; Website</t>
  </si>
  <si>
    <t xml:space="preserve">     Equipment - Expendable</t>
  </si>
  <si>
    <t xml:space="preserve">     Equipment Leases</t>
  </si>
  <si>
    <t xml:space="preserve">     Office Supplies</t>
  </si>
  <si>
    <t xml:space="preserve">     Conferences, Conventions and Meetings</t>
  </si>
  <si>
    <t xml:space="preserve">     Marketing and Direct Donor Expense</t>
  </si>
  <si>
    <t xml:space="preserve">     Outreach and Education</t>
  </si>
  <si>
    <t xml:space="preserve">     Volunteer and Intern Expense</t>
  </si>
  <si>
    <t xml:space="preserve">     Transportation</t>
  </si>
  <si>
    <t xml:space="preserve">     Meals and Entertainment</t>
  </si>
  <si>
    <t xml:space="preserve">     General Program Materials</t>
  </si>
  <si>
    <t xml:space="preserve">     Grants to Third Parties</t>
  </si>
  <si>
    <t xml:space="preserve">     Scholarships</t>
  </si>
  <si>
    <t xml:space="preserve">     Occupancy</t>
  </si>
  <si>
    <t xml:space="preserve">     Professional Services</t>
  </si>
  <si>
    <t xml:space="preserve">     Personnel Expenses</t>
  </si>
  <si>
    <t>Totals</t>
  </si>
  <si>
    <t>Total Supporting Services</t>
  </si>
  <si>
    <t>Fundraising</t>
  </si>
  <si>
    <t>Administration</t>
  </si>
  <si>
    <t>Total Program Services</t>
  </si>
  <si>
    <t>Future Ready Collier</t>
  </si>
  <si>
    <t>Educators &amp; Teachers</t>
  </si>
  <si>
    <t>Student  &amp; Families</t>
  </si>
  <si>
    <t>Supporting Services</t>
  </si>
  <si>
    <t>Program Services</t>
  </si>
  <si>
    <t xml:space="preserve">     Advertising</t>
  </si>
  <si>
    <t xml:space="preserve">     Dues, Publications and Subscriptions</t>
  </si>
  <si>
    <t xml:space="preserve">     School Services</t>
  </si>
  <si>
    <t>Total</t>
  </si>
  <si>
    <t xml:space="preserve">     Individual Contributions / Family Foundations</t>
  </si>
  <si>
    <t xml:space="preserve">     Governmental Grants</t>
  </si>
  <si>
    <t xml:space="preserve">     Foundation Revenue and Grants</t>
  </si>
  <si>
    <t>Budget Variance Report</t>
  </si>
  <si>
    <t>Net Assets with Restrictions</t>
  </si>
  <si>
    <t>Revenue</t>
  </si>
  <si>
    <t xml:space="preserve">Endowment  </t>
  </si>
  <si>
    <t>Capital - Building</t>
  </si>
  <si>
    <t xml:space="preserve">College &amp; Career Prep  </t>
  </si>
  <si>
    <t>Pre-Paid Scholarships</t>
  </si>
  <si>
    <t xml:space="preserve">College &amp; Career Preparation - Scholarships - Other  </t>
  </si>
  <si>
    <t xml:space="preserve">Endowment Release - Scholarship  </t>
  </si>
  <si>
    <t xml:space="preserve">Take Stock in Children - Scholarships  </t>
  </si>
  <si>
    <t xml:space="preserve">Entrepreneurship Program  </t>
  </si>
  <si>
    <t xml:space="preserve">Jump Start Scholarships  </t>
  </si>
  <si>
    <t xml:space="preserve">Forum Club  </t>
  </si>
  <si>
    <t xml:space="preserve">Press Club  </t>
  </si>
  <si>
    <t xml:space="preserve">Consortium Scholarship  </t>
  </si>
  <si>
    <t xml:space="preserve">Suncoast Scholarship  </t>
  </si>
  <si>
    <t xml:space="preserve">Carlin Student Scholarship  </t>
  </si>
  <si>
    <t xml:space="preserve">Teacher &amp; School Grants  </t>
  </si>
  <si>
    <t xml:space="preserve">License For Learning Grants  </t>
  </si>
  <si>
    <t xml:space="preserve">LJ MacCarthy Music Fund  </t>
  </si>
  <si>
    <t xml:space="preserve">Lal Gaynor Early Education &amp; Beyond  </t>
  </si>
  <si>
    <t xml:space="preserve">Principal Fellowship  </t>
  </si>
  <si>
    <t xml:space="preserve">Educator Grants - Other  </t>
  </si>
  <si>
    <t xml:space="preserve">Pi Beta Phi  </t>
  </si>
  <si>
    <t xml:space="preserve">Golden Apple Society  </t>
  </si>
  <si>
    <t xml:space="preserve">Golden Apple Teacher Grants  </t>
  </si>
  <si>
    <t xml:space="preserve">Future Ready Collier  </t>
  </si>
  <si>
    <t xml:space="preserve">Disaster Relief  </t>
  </si>
  <si>
    <t>Student and Families</t>
  </si>
  <si>
    <t>Endowment Fund</t>
  </si>
  <si>
    <t>Contributions</t>
  </si>
  <si>
    <t>Withdrawls</t>
  </si>
  <si>
    <t>Realized gains (losses)</t>
  </si>
  <si>
    <t>Unrealized gains (losses)</t>
  </si>
  <si>
    <t>Interest and dividends</t>
  </si>
  <si>
    <t>Administrative fees</t>
  </si>
  <si>
    <t>Endowment fund, ending balance</t>
  </si>
  <si>
    <t xml:space="preserve">Released </t>
  </si>
  <si>
    <t>Unrestricted</t>
  </si>
  <si>
    <t xml:space="preserve">     Travel</t>
  </si>
  <si>
    <t>The Education Foundation of Collier County, Inc</t>
  </si>
  <si>
    <t>Statement of Functional Expenses</t>
  </si>
  <si>
    <t xml:space="preserve">     Depreciation</t>
  </si>
  <si>
    <t>Technical Pathaways</t>
  </si>
  <si>
    <t>Program Percentage of Expenses</t>
  </si>
  <si>
    <t>General Student Programs</t>
  </si>
  <si>
    <t xml:space="preserve">     Awards and Recognition to Individuals</t>
  </si>
  <si>
    <t>Take Stock in Children Program</t>
  </si>
  <si>
    <t xml:space="preserve">     Awards and Recognition</t>
  </si>
  <si>
    <t>General Educator Programs</t>
  </si>
  <si>
    <t xml:space="preserve">Staff positions not hired. </t>
  </si>
  <si>
    <t>Below the Line Items</t>
  </si>
  <si>
    <t xml:space="preserve">   Expenses </t>
  </si>
  <si>
    <t xml:space="preserve">  Program Service Revenue (Contracted Services)</t>
  </si>
  <si>
    <t xml:space="preserve">     Program Service Revenue (Contracted Services)</t>
  </si>
  <si>
    <t xml:space="preserve">     Auction Expense</t>
  </si>
  <si>
    <t>Professional Contracts</t>
  </si>
  <si>
    <t>Total Revenue</t>
  </si>
  <si>
    <t xml:space="preserve">     Personnel Expenses (including Accrued Vacation)</t>
  </si>
  <si>
    <t>Sue Filip Fund</t>
  </si>
  <si>
    <t xml:space="preserve">   Income (not budget relieving)</t>
  </si>
  <si>
    <t>OPERATING NET SURPLUS/(DEFICIT)</t>
  </si>
  <si>
    <t>TOTAL NET SURPLUS (DEFICIT)</t>
  </si>
  <si>
    <t xml:space="preserve">     State Registration and Licensing Fees</t>
  </si>
  <si>
    <t xml:space="preserve">          Investment Revenue</t>
  </si>
  <si>
    <t xml:space="preserve">     Investment Income</t>
  </si>
  <si>
    <t>Prior Year -YTD 2024</t>
  </si>
  <si>
    <t>PYTD 2024 Totals</t>
  </si>
  <si>
    <t>Variance</t>
  </si>
  <si>
    <t>Total FY Budget</t>
  </si>
  <si>
    <t>Endowment fund, beginning balance, July 1, 2024</t>
  </si>
  <si>
    <t>More school tours FY25</t>
  </si>
  <si>
    <t>BE Leadership FY24</t>
  </si>
  <si>
    <t>vol gifts</t>
  </si>
  <si>
    <t xml:space="preserve">               Cash and Cash Equivalents (Everbank)</t>
  </si>
  <si>
    <t xml:space="preserve">               Cash and Cash Equivalents (Schwab)</t>
  </si>
  <si>
    <t>Beginning Balance  07/1/2024</t>
  </si>
  <si>
    <t>RTC program contracted services</t>
  </si>
  <si>
    <t>Hurricane Relief supplies</t>
  </si>
  <si>
    <t>Hurricane relief / Publix grants to teachers FY24</t>
  </si>
  <si>
    <t>Resiliency through October 31, 2024</t>
  </si>
  <si>
    <t xml:space="preserve">               Accounts Payable</t>
  </si>
  <si>
    <t>Schoen Foundation - Endowment gift</t>
  </si>
  <si>
    <t>$2.5 Mil Schoen gift</t>
  </si>
  <si>
    <t>able to grant more than budgeted</t>
  </si>
  <si>
    <t>pass through grants not budgeted</t>
  </si>
  <si>
    <t>computers paid with grant</t>
  </si>
  <si>
    <t>Only booking contributed</t>
  </si>
  <si>
    <t>YTD 2025 Total</t>
  </si>
  <si>
    <t xml:space="preserve">     Corporate/Organizational Revenue</t>
  </si>
  <si>
    <t xml:space="preserve">          In Kind Donations</t>
  </si>
  <si>
    <t xml:space="preserve">In Kind Donations </t>
  </si>
  <si>
    <t>In Kind Expenses</t>
  </si>
  <si>
    <t xml:space="preserve">               Accrued Payroll &amp; Vacation</t>
  </si>
  <si>
    <t>Change in Value of Endowment</t>
  </si>
  <si>
    <t xml:space="preserve">    Less: Special Event Expenses</t>
  </si>
  <si>
    <t>Total Expenses By Function</t>
  </si>
  <si>
    <t>Interfund Transfer</t>
  </si>
  <si>
    <t>Endowment  -Sue Filip</t>
  </si>
  <si>
    <t>April 30, 2025</t>
  </si>
  <si>
    <t>4/30/25</t>
  </si>
  <si>
    <t>4/30/24</t>
  </si>
  <si>
    <t>For the Period July 1, 2024 - April 30, 2025</t>
  </si>
  <si>
    <t>For the Period July 1 - April 30, 2025</t>
  </si>
  <si>
    <t>Ending Balance 4/30/25</t>
  </si>
  <si>
    <t>July-April Actual</t>
  </si>
  <si>
    <t xml:space="preserve"> July-April Budget</t>
  </si>
  <si>
    <t>less staff FY25 (9 less FTE)</t>
  </si>
  <si>
    <t>Breese - Bequest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</si>
</sst>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;\([$$-409]#,##0\);[$$-409]#,##0"/>
    <numFmt numFmtId="166" formatCode="[$-409]mmmm\ d\,\ yyyy;@"/>
  </numFmts>
  <fonts count="3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entury Gothic"/>
      <family val="2"/>
    </font>
    <font>
      <i/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8"/>
      <color rgb="FF000000"/>
      <name val="Century Gothic"/>
      <family val="2"/>
    </font>
    <font>
      <i/>
      <sz val="9"/>
      <color rgb="FF000000"/>
      <name val="Century Gothic"/>
      <family val="2"/>
    </font>
    <font>
      <b/>
      <i/>
      <sz val="8"/>
      <color rgb="FF000000"/>
      <name val="Century Gothic"/>
      <family val="2"/>
    </font>
    <font>
      <b/>
      <i/>
      <sz val="9"/>
      <color rgb="FF000000"/>
      <name val="Century Gothic"/>
      <family val="2"/>
    </font>
    <font>
      <sz val="11"/>
      <color rgb="FFFF0000"/>
      <name val="Century Gothic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5" fillId="0" borderId="0" xfId="0" applyFont="1"/>
    <xf numFmtId="49" fontId="7" fillId="0" borderId="0" xfId="0" applyNumberFormat="1" applyFont="1" applyAlignment="1">
      <alignment vertical="top"/>
    </xf>
    <xf numFmtId="0" fontId="9" fillId="0" borderId="0" xfId="0" applyFont="1"/>
    <xf numFmtId="164" fontId="10" fillId="0" borderId="0" xfId="1" applyNumberFormat="1" applyFont="1" applyAlignment="1">
      <alignment horizontal="right" vertical="top"/>
    </xf>
    <xf numFmtId="164" fontId="10" fillId="0" borderId="2" xfId="1" applyNumberFormat="1" applyFont="1" applyBorder="1" applyAlignment="1">
      <alignment horizontal="right" vertical="top"/>
    </xf>
    <xf numFmtId="164" fontId="9" fillId="0" borderId="0" xfId="1" applyNumberFormat="1" applyFont="1"/>
    <xf numFmtId="164" fontId="10" fillId="0" borderId="3" xfId="1" applyNumberFormat="1" applyFont="1" applyBorder="1" applyAlignment="1">
      <alignment horizontal="right" vertical="top"/>
    </xf>
    <xf numFmtId="164" fontId="10" fillId="0" borderId="0" xfId="1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164" fontId="9" fillId="0" borderId="0" xfId="1" applyNumberFormat="1" applyFont="1" applyBorder="1"/>
    <xf numFmtId="0" fontId="9" fillId="0" borderId="0" xfId="3" applyFont="1"/>
    <xf numFmtId="164" fontId="10" fillId="0" borderId="1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5" xfId="1" applyNumberFormat="1" applyFont="1" applyBorder="1" applyAlignment="1">
      <alignment horizontal="right" vertical="top"/>
    </xf>
    <xf numFmtId="0" fontId="6" fillId="0" borderId="0" xfId="3" applyFont="1"/>
    <xf numFmtId="0" fontId="5" fillId="0" borderId="0" xfId="3" applyFont="1"/>
    <xf numFmtId="49" fontId="5" fillId="0" borderId="1" xfId="3" applyNumberFormat="1" applyFont="1" applyBorder="1" applyAlignment="1">
      <alignment horizontal="center" wrapText="1"/>
    </xf>
    <xf numFmtId="49" fontId="5" fillId="0" borderId="1" xfId="3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3" applyFont="1"/>
    <xf numFmtId="49" fontId="5" fillId="0" borderId="1" xfId="0" applyNumberFormat="1" applyFont="1" applyBorder="1" applyAlignment="1">
      <alignment horizontal="center" wrapText="1"/>
    </xf>
    <xf numFmtId="164" fontId="10" fillId="0" borderId="4" xfId="1" applyNumberFormat="1" applyFont="1" applyBorder="1" applyAlignment="1">
      <alignment horizontal="right" vertical="top"/>
    </xf>
    <xf numFmtId="0" fontId="14" fillId="0" borderId="0" xfId="6" applyFont="1"/>
    <xf numFmtId="0" fontId="15" fillId="0" borderId="0" xfId="6" applyFont="1"/>
    <xf numFmtId="0" fontId="16" fillId="0" borderId="0" xfId="6" applyFont="1"/>
    <xf numFmtId="14" fontId="17" fillId="0" borderId="4" xfId="6" applyNumberFormat="1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8" fillId="0" borderId="0" xfId="6" applyFont="1"/>
    <xf numFmtId="164" fontId="9" fillId="0" borderId="0" xfId="7" applyNumberFormat="1" applyFont="1"/>
    <xf numFmtId="164" fontId="4" fillId="0" borderId="0" xfId="7" applyNumberFormat="1" applyFont="1"/>
    <xf numFmtId="164" fontId="9" fillId="0" borderId="4" xfId="7" applyNumberFormat="1" applyFont="1" applyBorder="1"/>
    <xf numFmtId="164" fontId="4" fillId="0" borderId="4" xfId="7" applyNumberFormat="1" applyFont="1" applyBorder="1"/>
    <xf numFmtId="164" fontId="17" fillId="0" borderId="0" xfId="7" applyNumberFormat="1" applyFont="1"/>
    <xf numFmtId="9" fontId="16" fillId="0" borderId="0" xfId="8" applyFont="1"/>
    <xf numFmtId="0" fontId="19" fillId="0" borderId="0" xfId="6" applyFont="1"/>
    <xf numFmtId="43" fontId="16" fillId="0" borderId="0" xfId="6" applyNumberFormat="1" applyFont="1"/>
    <xf numFmtId="164" fontId="16" fillId="0" borderId="0" xfId="6" applyNumberFormat="1" applyFont="1"/>
    <xf numFmtId="9" fontId="11" fillId="0" borderId="0" xfId="2" applyFont="1"/>
    <xf numFmtId="49" fontId="5" fillId="0" borderId="0" xfId="3" applyNumberFormat="1" applyFont="1" applyAlignment="1">
      <alignment vertical="top"/>
    </xf>
    <xf numFmtId="0" fontId="7" fillId="0" borderId="0" xfId="3" applyFont="1" applyAlignment="1">
      <alignment vertical="top"/>
    </xf>
    <xf numFmtId="164" fontId="10" fillId="0" borderId="6" xfId="1" applyNumberFormat="1" applyFont="1" applyBorder="1" applyAlignment="1">
      <alignment horizontal="right" vertical="top"/>
    </xf>
    <xf numFmtId="164" fontId="6" fillId="0" borderId="0" xfId="0" applyNumberFormat="1" applyFont="1"/>
    <xf numFmtId="0" fontId="12" fillId="0" borderId="0" xfId="3" applyFont="1"/>
    <xf numFmtId="164" fontId="11" fillId="0" borderId="0" xfId="3" applyNumberFormat="1" applyFont="1"/>
    <xf numFmtId="164" fontId="13" fillId="0" borderId="0" xfId="0" applyNumberFormat="1" applyFont="1"/>
    <xf numFmtId="164" fontId="13" fillId="0" borderId="0" xfId="3" applyNumberFormat="1" applyFont="1"/>
    <xf numFmtId="43" fontId="6" fillId="0" borderId="0" xfId="0" applyNumberFormat="1" applyFont="1"/>
    <xf numFmtId="164" fontId="6" fillId="0" borderId="0" xfId="1" applyNumberFormat="1" applyFont="1"/>
    <xf numFmtId="0" fontId="21" fillId="0" borderId="0" xfId="3" applyFont="1"/>
    <xf numFmtId="164" fontId="21" fillId="0" borderId="0" xfId="3" applyNumberFormat="1" applyFont="1"/>
    <xf numFmtId="43" fontId="12" fillId="0" borderId="0" xfId="1" applyFont="1"/>
    <xf numFmtId="164" fontId="6" fillId="0" borderId="0" xfId="3" applyNumberFormat="1" applyFont="1"/>
    <xf numFmtId="49" fontId="5" fillId="0" borderId="4" xfId="3" applyNumberFormat="1" applyFont="1" applyBorder="1" applyAlignment="1">
      <alignment horizontal="center" wrapText="1"/>
    </xf>
    <xf numFmtId="0" fontId="20" fillId="0" borderId="0" xfId="3" applyFont="1"/>
    <xf numFmtId="164" fontId="9" fillId="0" borderId="6" xfId="1" applyNumberFormat="1" applyFont="1" applyBorder="1"/>
    <xf numFmtId="0" fontId="22" fillId="0" borderId="0" xfId="3" applyFont="1"/>
    <xf numFmtId="164" fontId="11" fillId="0" borderId="0" xfId="1" applyNumberFormat="1" applyFont="1"/>
    <xf numFmtId="164" fontId="11" fillId="0" borderId="7" xfId="1" applyNumberFormat="1" applyFont="1" applyBorder="1"/>
    <xf numFmtId="164" fontId="6" fillId="0" borderId="4" xfId="1" applyNumberFormat="1" applyFont="1" applyBorder="1"/>
    <xf numFmtId="0" fontId="12" fillId="0" borderId="8" xfId="0" applyFont="1" applyBorder="1"/>
    <xf numFmtId="0" fontId="12" fillId="0" borderId="9" xfId="0" applyFont="1" applyBorder="1"/>
    <xf numFmtId="164" fontId="12" fillId="0" borderId="9" xfId="0" applyNumberFormat="1" applyFont="1" applyBorder="1"/>
    <xf numFmtId="0" fontId="23" fillId="0" borderId="10" xfId="0" applyFont="1" applyBorder="1"/>
    <xf numFmtId="0" fontId="12" fillId="0" borderId="11" xfId="0" applyFont="1" applyBorder="1"/>
    <xf numFmtId="0" fontId="13" fillId="0" borderId="12" xfId="0" applyFont="1" applyBorder="1"/>
    <xf numFmtId="0" fontId="6" fillId="0" borderId="11" xfId="0" applyFont="1" applyBorder="1"/>
    <xf numFmtId="164" fontId="6" fillId="0" borderId="0" xfId="1" applyNumberFormat="1" applyFont="1" applyBorder="1"/>
    <xf numFmtId="0" fontId="20" fillId="0" borderId="0" xfId="0" applyFont="1" applyAlignment="1">
      <alignment vertical="top"/>
    </xf>
    <xf numFmtId="49" fontId="5" fillId="0" borderId="0" xfId="0" applyNumberFormat="1" applyFont="1" applyAlignment="1">
      <alignment horizontal="center"/>
    </xf>
    <xf numFmtId="164" fontId="8" fillId="0" borderId="0" xfId="1" applyNumberFormat="1" applyFont="1" applyBorder="1" applyAlignment="1">
      <alignment horizontal="right" vertical="top"/>
    </xf>
    <xf numFmtId="43" fontId="6" fillId="0" borderId="0" xfId="1" applyFont="1"/>
    <xf numFmtId="164" fontId="6" fillId="0" borderId="4" xfId="0" applyNumberFormat="1" applyFont="1" applyBorder="1"/>
    <xf numFmtId="0" fontId="22" fillId="0" borderId="0" xfId="0" applyFont="1"/>
    <xf numFmtId="0" fontId="12" fillId="0" borderId="4" xfId="3" applyFont="1" applyBorder="1" applyAlignment="1">
      <alignment horizontal="center" wrapText="1"/>
    </xf>
    <xf numFmtId="0" fontId="24" fillId="0" borderId="0" xfId="0" applyFont="1"/>
    <xf numFmtId="37" fontId="10" fillId="0" borderId="0" xfId="0" applyNumberFormat="1" applyFont="1" applyAlignment="1">
      <alignment horizontal="right" vertical="top"/>
    </xf>
    <xf numFmtId="164" fontId="10" fillId="0" borderId="0" xfId="1" applyNumberFormat="1" applyFont="1" applyFill="1" applyAlignment="1">
      <alignment horizontal="right" vertical="top"/>
    </xf>
    <xf numFmtId="38" fontId="10" fillId="0" borderId="0" xfId="1" applyNumberFormat="1" applyFont="1" applyAlignment="1">
      <alignment horizontal="right" vertical="top"/>
    </xf>
    <xf numFmtId="38" fontId="6" fillId="0" borderId="0" xfId="0" applyNumberFormat="1" applyFont="1"/>
    <xf numFmtId="38" fontId="10" fillId="0" borderId="1" xfId="1" applyNumberFormat="1" applyFont="1" applyBorder="1" applyAlignment="1">
      <alignment horizontal="right" vertical="top"/>
    </xf>
    <xf numFmtId="165" fontId="6" fillId="0" borderId="0" xfId="0" applyNumberFormat="1" applyFont="1"/>
    <xf numFmtId="164" fontId="25" fillId="0" borderId="0" xfId="0" applyNumberFormat="1" applyFont="1"/>
    <xf numFmtId="164" fontId="22" fillId="0" borderId="0" xfId="0" applyNumberFormat="1" applyFont="1"/>
    <xf numFmtId="164" fontId="9" fillId="0" borderId="0" xfId="1" applyNumberFormat="1" applyFont="1" applyFill="1"/>
    <xf numFmtId="164" fontId="9" fillId="0" borderId="0" xfId="0" applyNumberFormat="1" applyFont="1"/>
    <xf numFmtId="164" fontId="12" fillId="0" borderId="0" xfId="1" applyNumberFormat="1" applyFont="1"/>
    <xf numFmtId="164" fontId="12" fillId="0" borderId="4" xfId="1" applyNumberFormat="1" applyFont="1" applyBorder="1" applyAlignment="1">
      <alignment horizontal="center" wrapText="1"/>
    </xf>
    <xf numFmtId="0" fontId="26" fillId="0" borderId="0" xfId="3" applyFont="1"/>
    <xf numFmtId="0" fontId="27" fillId="0" borderId="0" xfId="3" applyFont="1"/>
    <xf numFmtId="37" fontId="9" fillId="0" borderId="0" xfId="11" applyNumberFormat="1" applyFont="1" applyAlignment="1">
      <alignment horizontal="right"/>
    </xf>
    <xf numFmtId="43" fontId="6" fillId="0" borderId="0" xfId="3" applyNumberFormat="1" applyFont="1"/>
    <xf numFmtId="49" fontId="5" fillId="0" borderId="4" xfId="0" applyNumberFormat="1" applyFont="1" applyBorder="1" applyAlignment="1">
      <alignment horizontal="center" wrapText="1"/>
    </xf>
    <xf numFmtId="0" fontId="12" fillId="0" borderId="13" xfId="0" applyFont="1" applyBorder="1"/>
    <xf numFmtId="0" fontId="12" fillId="0" borderId="14" xfId="0" applyFont="1" applyBorder="1"/>
    <xf numFmtId="164" fontId="12" fillId="0" borderId="14" xfId="0" applyNumberFormat="1" applyFont="1" applyBorder="1"/>
    <xf numFmtId="0" fontId="23" fillId="0" borderId="15" xfId="0" applyFont="1" applyBorder="1"/>
    <xf numFmtId="164" fontId="11" fillId="0" borderId="0" xfId="7" applyNumberFormat="1" applyFont="1"/>
    <xf numFmtId="0" fontId="11" fillId="0" borderId="0" xfId="3" applyFont="1"/>
    <xf numFmtId="164" fontId="9" fillId="0" borderId="0" xfId="3" applyNumberFormat="1" applyFont="1"/>
    <xf numFmtId="0" fontId="11" fillId="0" borderId="4" xfId="3" applyFont="1" applyBorder="1" applyAlignment="1">
      <alignment horizontal="center"/>
    </xf>
    <xf numFmtId="164" fontId="12" fillId="0" borderId="0" xfId="0" applyNumberFormat="1" applyFont="1"/>
    <xf numFmtId="0" fontId="23" fillId="0" borderId="12" xfId="0" applyFont="1" applyBorder="1"/>
    <xf numFmtId="0" fontId="12" fillId="0" borderId="11" xfId="0" applyFont="1" applyBorder="1" applyAlignment="1">
      <alignment horizontal="left"/>
    </xf>
    <xf numFmtId="164" fontId="8" fillId="0" borderId="7" xfId="1" applyNumberFormat="1" applyFont="1" applyBorder="1" applyAlignment="1">
      <alignment horizontal="right" vertical="top"/>
    </xf>
    <xf numFmtId="165" fontId="9" fillId="0" borderId="0" xfId="0" applyNumberFormat="1" applyFont="1"/>
    <xf numFmtId="164" fontId="11" fillId="0" borderId="4" xfId="3" applyNumberFormat="1" applyFont="1" applyBorder="1"/>
    <xf numFmtId="164" fontId="11" fillId="0" borderId="4" xfId="1" applyNumberFormat="1" applyFont="1" applyBorder="1"/>
    <xf numFmtId="38" fontId="10" fillId="0" borderId="4" xfId="1" applyNumberFormat="1" applyFont="1" applyBorder="1" applyAlignment="1">
      <alignment horizontal="right" vertical="top"/>
    </xf>
    <xf numFmtId="0" fontId="6" fillId="2" borderId="0" xfId="3" applyFont="1" applyFill="1"/>
    <xf numFmtId="164" fontId="6" fillId="2" borderId="0" xfId="3" applyNumberFormat="1" applyFont="1" applyFill="1"/>
    <xf numFmtId="0" fontId="12" fillId="2" borderId="0" xfId="3" applyFont="1" applyFill="1"/>
    <xf numFmtId="0" fontId="12" fillId="2" borderId="4" xfId="3" applyFont="1" applyFill="1" applyBorder="1"/>
    <xf numFmtId="164" fontId="11" fillId="0" borderId="0" xfId="1" applyNumberFormat="1" applyFont="1" applyBorder="1"/>
    <xf numFmtId="164" fontId="9" fillId="0" borderId="4" xfId="1" applyNumberFormat="1" applyFont="1" applyBorder="1"/>
    <xf numFmtId="0" fontId="6" fillId="2" borderId="4" xfId="3" applyFont="1" applyFill="1" applyBorder="1"/>
    <xf numFmtId="164" fontId="9" fillId="0" borderId="4" xfId="3" applyNumberFormat="1" applyFont="1" applyBorder="1"/>
    <xf numFmtId="164" fontId="11" fillId="0" borderId="6" xfId="3" applyNumberFormat="1" applyFont="1" applyBorder="1"/>
    <xf numFmtId="0" fontId="12" fillId="2" borderId="6" xfId="3" applyFont="1" applyFill="1" applyBorder="1"/>
    <xf numFmtId="164" fontId="11" fillId="0" borderId="6" xfId="1" applyNumberFormat="1" applyFont="1" applyBorder="1"/>
    <xf numFmtId="49" fontId="5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5" fillId="0" borderId="0" xfId="0" applyFont="1"/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7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49" fontId="7" fillId="0" borderId="0" xfId="3" applyNumberFormat="1" applyFont="1" applyAlignment="1">
      <alignment horizontal="center" vertical="top"/>
    </xf>
    <xf numFmtId="49" fontId="7" fillId="0" borderId="0" xfId="3" applyNumberFormat="1" applyFont="1" applyAlignment="1">
      <alignment horizontal="left" vertical="top"/>
    </xf>
    <xf numFmtId="0" fontId="20" fillId="0" borderId="0" xfId="3" applyFont="1" applyAlignment="1">
      <alignment vertical="top"/>
    </xf>
    <xf numFmtId="0" fontId="5" fillId="0" borderId="0" xfId="3" applyFont="1"/>
    <xf numFmtId="49" fontId="5" fillId="0" borderId="1" xfId="3" applyNumberFormat="1" applyFont="1" applyBorder="1" applyAlignment="1">
      <alignment horizontal="center"/>
    </xf>
    <xf numFmtId="166" fontId="5" fillId="0" borderId="0" xfId="0" applyNumberFormat="1" applyFont="1" applyAlignment="1">
      <alignment horizontal="left" vertical="top"/>
    </xf>
  </cellXfs>
  <cellStyles count="12">
    <cellStyle name="Comma" xfId="1" builtinId="3"/>
    <cellStyle name="Comma 15" xfId="7" xr:uid="{6CCEB3B4-6AC0-482E-8D83-96C96532D44E}"/>
    <cellStyle name="Comma 2" xfId="5" xr:uid="{090C36C7-8B93-422C-95BF-82FFBF34C7D2}"/>
    <cellStyle name="Comma 3" xfId="10" xr:uid="{3365F7AC-2262-4D49-BFD2-5EACF6BABBE2}"/>
    <cellStyle name="Currency" xfId="11" builtinId="4"/>
    <cellStyle name="Normal" xfId="0" builtinId="0"/>
    <cellStyle name="Normal 11" xfId="6" xr:uid="{C671A48E-5472-449E-9D19-6630DC90544E}"/>
    <cellStyle name="Normal 2" xfId="3" xr:uid="{29ACA96F-D79E-453D-BF6F-B5F1DEF5D8C7}"/>
    <cellStyle name="Normal 3" xfId="4" xr:uid="{6CCC442A-CB1F-43F5-B5A5-AF9814687AF4}"/>
    <cellStyle name="Normal 4" xfId="9" xr:uid="{0D304731-ACBA-45F1-AA42-A288A7FE1360}"/>
    <cellStyle name="Percent" xfId="2" builtinId="5"/>
    <cellStyle name="Percent 2" xfId="8" xr:uid="{E6AA77DC-3FCE-4BC1-9BF3-383D67B26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90" zoomScaleNormal="90" workbookViewId="0">
      <selection activeCell="K24" sqref="K24"/>
    </sheetView>
  </sheetViews>
  <sheetFormatPr defaultRowHeight="16.5" x14ac:dyDescent="0.3"/>
  <cols>
    <col min="1" max="1" width="14.5703125" style="1" customWidth="1"/>
    <col min="2" max="2" width="7.5703125" style="1" customWidth="1"/>
    <col min="3" max="3" width="38.7109375" style="1" customWidth="1"/>
    <col min="4" max="4" width="13.28515625" style="1" customWidth="1"/>
    <col min="5" max="5" width="3.140625" style="1" customWidth="1"/>
    <col min="6" max="6" width="13.28515625" style="1" customWidth="1"/>
    <col min="7" max="7" width="3.5703125" style="24" customWidth="1"/>
    <col min="8" max="8" width="9.140625" style="78"/>
    <col min="9" max="9" width="11.5703125" style="1" bestFit="1" customWidth="1"/>
    <col min="10" max="10" width="14.5703125" style="1" bestFit="1" customWidth="1"/>
    <col min="11" max="12" width="9.85546875" style="1" bestFit="1" customWidth="1"/>
    <col min="13" max="15" width="9.140625" style="1"/>
    <col min="16" max="16" width="12.5703125" style="1" customWidth="1"/>
    <col min="17" max="16384" width="9.140625" style="1"/>
  </cols>
  <sheetData>
    <row r="1" spans="1:12" ht="19.899999999999999" customHeight="1" x14ac:dyDescent="0.3">
      <c r="A1" s="125" t="s">
        <v>0</v>
      </c>
      <c r="B1" s="125"/>
      <c r="C1" s="125"/>
      <c r="D1" s="125"/>
      <c r="E1" s="125"/>
      <c r="F1" s="125"/>
    </row>
    <row r="2" spans="1:12" ht="19.899999999999999" customHeight="1" x14ac:dyDescent="0.3">
      <c r="A2" s="125" t="s">
        <v>1</v>
      </c>
      <c r="B2" s="125"/>
      <c r="C2" s="125"/>
      <c r="D2" s="125"/>
      <c r="E2" s="125"/>
      <c r="F2" s="125"/>
    </row>
    <row r="3" spans="1:12" ht="16.899999999999999" customHeight="1" x14ac:dyDescent="0.3">
      <c r="A3" s="125" t="s">
        <v>182</v>
      </c>
      <c r="B3" s="125"/>
      <c r="C3" s="125"/>
      <c r="D3" s="125"/>
      <c r="E3" s="125"/>
      <c r="F3" s="125"/>
    </row>
    <row r="4" spans="1:12" ht="15.75" customHeight="1" x14ac:dyDescent="0.3">
      <c r="A4" s="126"/>
      <c r="B4" s="126"/>
      <c r="C4" s="126"/>
      <c r="D4" s="126"/>
      <c r="E4" s="126"/>
      <c r="F4" s="126"/>
    </row>
    <row r="5" spans="1:12" ht="15.75" customHeight="1" x14ac:dyDescent="0.3">
      <c r="A5" s="2"/>
      <c r="B5" s="127"/>
      <c r="C5" s="127"/>
      <c r="D5" s="12" t="s">
        <v>183</v>
      </c>
      <c r="E5" s="11"/>
      <c r="F5" s="12" t="s">
        <v>184</v>
      </c>
    </row>
    <row r="6" spans="1:12" ht="15.75" customHeight="1" x14ac:dyDescent="0.3">
      <c r="A6" s="128" t="s">
        <v>2</v>
      </c>
      <c r="B6" s="128"/>
      <c r="C6" s="128"/>
      <c r="D6" s="4"/>
      <c r="E6" s="4"/>
      <c r="F6" s="4"/>
    </row>
    <row r="7" spans="1:12" ht="15.75" customHeight="1" x14ac:dyDescent="0.3">
      <c r="A7" s="128" t="s">
        <v>157</v>
      </c>
      <c r="B7" s="128"/>
      <c r="C7" s="128"/>
      <c r="D7" s="95">
        <v>1356177.72</v>
      </c>
      <c r="E7" s="9"/>
      <c r="F7" s="7">
        <v>588952</v>
      </c>
      <c r="I7" s="87"/>
      <c r="J7" s="52"/>
    </row>
    <row r="8" spans="1:12" ht="15.75" customHeight="1" x14ac:dyDescent="0.3">
      <c r="A8" s="128" t="s">
        <v>158</v>
      </c>
      <c r="B8" s="128"/>
      <c r="C8" s="128"/>
      <c r="D8" s="110">
        <v>1805324.22</v>
      </c>
      <c r="E8" s="110"/>
      <c r="F8" s="110">
        <v>1265622</v>
      </c>
      <c r="I8" s="87"/>
      <c r="J8" s="52"/>
    </row>
    <row r="9" spans="1:12" ht="15.75" customHeight="1" x14ac:dyDescent="0.3">
      <c r="A9" s="128" t="s">
        <v>3</v>
      </c>
      <c r="B9" s="128"/>
      <c r="C9" s="128"/>
      <c r="D9" s="5">
        <v>1728210.76</v>
      </c>
      <c r="E9" s="9"/>
      <c r="F9" s="7">
        <v>3659547.01</v>
      </c>
      <c r="H9" s="78" t="s">
        <v>170</v>
      </c>
      <c r="I9" s="87"/>
      <c r="J9" s="76"/>
      <c r="K9" s="47"/>
      <c r="L9" s="47"/>
    </row>
    <row r="10" spans="1:12" ht="15.75" customHeight="1" x14ac:dyDescent="0.3">
      <c r="A10" s="128" t="s">
        <v>4</v>
      </c>
      <c r="B10" s="128"/>
      <c r="C10" s="128"/>
      <c r="D10" s="82">
        <v>34831</v>
      </c>
      <c r="E10" s="9"/>
      <c r="F10" s="7">
        <v>17221</v>
      </c>
      <c r="I10" s="87"/>
    </row>
    <row r="11" spans="1:12" ht="15.75" customHeight="1" x14ac:dyDescent="0.3">
      <c r="A11" s="128" t="s">
        <v>5</v>
      </c>
      <c r="B11" s="128"/>
      <c r="C11" s="128"/>
      <c r="D11" s="5">
        <v>3783704.28</v>
      </c>
      <c r="E11" s="9"/>
      <c r="F11" s="7">
        <v>1174728</v>
      </c>
      <c r="H11" s="78" t="s">
        <v>166</v>
      </c>
      <c r="I11" s="87"/>
      <c r="J11" s="86"/>
    </row>
    <row r="12" spans="1:12" ht="15.75" customHeight="1" x14ac:dyDescent="0.3">
      <c r="A12" s="128" t="s">
        <v>19</v>
      </c>
      <c r="B12" s="128"/>
      <c r="C12" s="128"/>
      <c r="D12" s="82">
        <v>562379.68000000005</v>
      </c>
      <c r="E12" s="9"/>
      <c r="F12" s="7">
        <v>521070</v>
      </c>
      <c r="I12" s="87"/>
      <c r="J12" s="47"/>
      <c r="K12" s="47"/>
    </row>
    <row r="13" spans="1:12" ht="15.75" customHeight="1" x14ac:dyDescent="0.3">
      <c r="A13" s="128" t="s">
        <v>6</v>
      </c>
      <c r="B13" s="128"/>
      <c r="C13" s="128"/>
      <c r="D13" s="5">
        <v>1820934</v>
      </c>
      <c r="E13" s="9"/>
      <c r="F13" s="7">
        <v>1925597</v>
      </c>
      <c r="I13" s="87"/>
      <c r="J13" s="47"/>
    </row>
    <row r="14" spans="1:12" ht="15.75" customHeight="1" thickBot="1" x14ac:dyDescent="0.35">
      <c r="A14" s="128" t="s">
        <v>7</v>
      </c>
      <c r="B14" s="128"/>
      <c r="C14" s="128"/>
      <c r="D14" s="6">
        <f>SUM(D7:D13)</f>
        <v>11091561.66</v>
      </c>
      <c r="E14" s="9"/>
      <c r="F14" s="6">
        <f>SUM(F7:F13)</f>
        <v>9152737.0099999998</v>
      </c>
      <c r="I14" s="87"/>
    </row>
    <row r="15" spans="1:12" ht="15.75" customHeight="1" thickTop="1" x14ac:dyDescent="0.3">
      <c r="D15" s="7"/>
      <c r="E15" s="13"/>
      <c r="F15" s="7"/>
    </row>
    <row r="16" spans="1:12" ht="15.75" customHeight="1" x14ac:dyDescent="0.3">
      <c r="A16" s="128" t="s">
        <v>8</v>
      </c>
      <c r="B16" s="128"/>
      <c r="C16" s="128"/>
      <c r="D16" s="7"/>
      <c r="E16" s="13"/>
      <c r="F16" s="7"/>
    </row>
    <row r="17" spans="1:9" ht="15.75" customHeight="1" x14ac:dyDescent="0.3">
      <c r="A17" s="128" t="s">
        <v>9</v>
      </c>
      <c r="B17" s="128"/>
      <c r="C17" s="128"/>
      <c r="D17" s="7"/>
      <c r="E17" s="13"/>
      <c r="F17" s="7"/>
    </row>
    <row r="18" spans="1:9" ht="15.75" customHeight="1" x14ac:dyDescent="0.3">
      <c r="A18" s="128" t="s">
        <v>164</v>
      </c>
      <c r="B18" s="128"/>
      <c r="C18" s="128"/>
      <c r="D18" s="90">
        <v>15849</v>
      </c>
      <c r="E18" s="9"/>
      <c r="F18" s="7">
        <v>17080</v>
      </c>
    </row>
    <row r="19" spans="1:9" ht="15.75" customHeight="1" x14ac:dyDescent="0.3">
      <c r="A19" s="129" t="s">
        <v>176</v>
      </c>
      <c r="B19" s="129"/>
      <c r="C19" s="129"/>
      <c r="D19" s="90">
        <v>43480</v>
      </c>
      <c r="E19" s="9"/>
      <c r="F19" s="7">
        <v>74608</v>
      </c>
    </row>
    <row r="20" spans="1:9" ht="15.75" customHeight="1" x14ac:dyDescent="0.3">
      <c r="A20" s="128" t="s">
        <v>10</v>
      </c>
      <c r="B20" s="128"/>
      <c r="C20" s="128"/>
      <c r="D20" s="8">
        <f>SUM(D18:D19)</f>
        <v>59329</v>
      </c>
      <c r="E20" s="9"/>
      <c r="F20" s="8">
        <f>SUM(F18:F19)</f>
        <v>91688</v>
      </c>
      <c r="G20" s="9"/>
    </row>
    <row r="21" spans="1:9" ht="15.75" customHeight="1" x14ac:dyDescent="0.3">
      <c r="D21" s="7"/>
      <c r="E21" s="13"/>
      <c r="F21" s="7"/>
      <c r="I21" s="47"/>
    </row>
    <row r="22" spans="1:9" ht="15.75" customHeight="1" x14ac:dyDescent="0.3">
      <c r="A22" s="128" t="s">
        <v>11</v>
      </c>
      <c r="B22" s="128"/>
      <c r="C22" s="128"/>
      <c r="D22" s="7"/>
      <c r="E22" s="13"/>
      <c r="F22" s="7"/>
    </row>
    <row r="23" spans="1:9" ht="15.75" customHeight="1" x14ac:dyDescent="0.3">
      <c r="A23" s="128" t="s">
        <v>12</v>
      </c>
      <c r="B23" s="128"/>
      <c r="C23" s="128"/>
      <c r="D23" s="7"/>
      <c r="E23" s="13"/>
      <c r="F23" s="7"/>
    </row>
    <row r="24" spans="1:9" ht="15.75" customHeight="1" x14ac:dyDescent="0.3">
      <c r="A24" s="128" t="s">
        <v>13</v>
      </c>
      <c r="B24" s="128"/>
      <c r="C24" s="128"/>
      <c r="D24" s="5">
        <f>'Stmt Activities'!D35-'Financial Position'!D25-'Financial Position'!D26</f>
        <v>2151815.9299999997</v>
      </c>
      <c r="E24" s="9"/>
      <c r="F24" s="7">
        <f>3549763-F25</f>
        <v>1624166</v>
      </c>
      <c r="I24" s="47"/>
    </row>
    <row r="25" spans="1:9" ht="15.75" customHeight="1" x14ac:dyDescent="0.3">
      <c r="A25" s="3" t="s">
        <v>20</v>
      </c>
      <c r="B25" s="3"/>
      <c r="C25" s="3"/>
      <c r="D25" s="5">
        <f>D13</f>
        <v>1820934</v>
      </c>
      <c r="E25" s="9"/>
      <c r="F25" s="7">
        <f>F13</f>
        <v>1925597</v>
      </c>
      <c r="I25" s="47"/>
    </row>
    <row r="26" spans="1:9" ht="15.75" customHeight="1" x14ac:dyDescent="0.3">
      <c r="A26" s="128" t="s">
        <v>14</v>
      </c>
      <c r="B26" s="128"/>
      <c r="C26" s="128"/>
      <c r="D26" s="5">
        <v>500000</v>
      </c>
      <c r="E26" s="9"/>
      <c r="F26" s="7">
        <v>500000</v>
      </c>
    </row>
    <row r="27" spans="1:9" ht="15.75" customHeight="1" x14ac:dyDescent="0.3">
      <c r="A27" s="128" t="s">
        <v>15</v>
      </c>
      <c r="B27" s="128"/>
      <c r="C27" s="128"/>
      <c r="D27" s="8">
        <f>SUM(D24:D26)</f>
        <v>4472749.93</v>
      </c>
      <c r="E27" s="9"/>
      <c r="F27" s="8">
        <f t="shared" ref="F27" si="0">SUM(F24:F26)</f>
        <v>4049763</v>
      </c>
      <c r="H27" s="88"/>
    </row>
    <row r="28" spans="1:9" ht="15.75" customHeight="1" x14ac:dyDescent="0.3">
      <c r="D28" s="7"/>
      <c r="E28" s="13"/>
      <c r="F28" s="7"/>
    </row>
    <row r="29" spans="1:9" ht="15.75" customHeight="1" x14ac:dyDescent="0.3">
      <c r="A29" s="128" t="s">
        <v>16</v>
      </c>
      <c r="B29" s="128"/>
      <c r="C29" s="128"/>
      <c r="D29" s="5">
        <f>'Stmt Activities'!E35</f>
        <v>6559482.8500000006</v>
      </c>
      <c r="E29" s="9"/>
      <c r="F29" s="7">
        <v>5011284</v>
      </c>
      <c r="I29" s="47"/>
    </row>
    <row r="30" spans="1:9" ht="15.75" customHeight="1" x14ac:dyDescent="0.3">
      <c r="A30" s="128" t="s">
        <v>17</v>
      </c>
      <c r="B30" s="128"/>
      <c r="C30" s="128"/>
      <c r="D30" s="8">
        <f>D27+D29</f>
        <v>11032232.780000001</v>
      </c>
      <c r="E30" s="9"/>
      <c r="F30" s="8">
        <f t="shared" ref="F30" si="1">F27+F29</f>
        <v>9061047</v>
      </c>
    </row>
    <row r="31" spans="1:9" ht="15.75" customHeight="1" x14ac:dyDescent="0.3">
      <c r="D31" s="7"/>
      <c r="E31" s="13"/>
      <c r="F31" s="7"/>
    </row>
    <row r="32" spans="1:9" ht="15.75" customHeight="1" thickBot="1" x14ac:dyDescent="0.35">
      <c r="A32" s="128" t="s">
        <v>18</v>
      </c>
      <c r="B32" s="128"/>
      <c r="C32" s="128"/>
      <c r="D32" s="6">
        <f>D20+D30</f>
        <v>11091561.780000001</v>
      </c>
      <c r="E32" s="9"/>
      <c r="F32" s="6">
        <f>F20+F30+2</f>
        <v>9152737</v>
      </c>
    </row>
    <row r="33" spans="4:6" ht="15.75" customHeight="1" thickTop="1" x14ac:dyDescent="0.3"/>
    <row r="34" spans="4:6" ht="13.35" customHeight="1" x14ac:dyDescent="0.3">
      <c r="D34" s="47"/>
    </row>
    <row r="35" spans="4:6" ht="13.35" customHeight="1" x14ac:dyDescent="0.3">
      <c r="D35" s="47"/>
    </row>
    <row r="36" spans="4:6" ht="13.35" customHeight="1" x14ac:dyDescent="0.3"/>
    <row r="37" spans="4:6" ht="13.35" customHeight="1" x14ac:dyDescent="0.3">
      <c r="F37" s="47"/>
    </row>
    <row r="38" spans="4:6" ht="13.35" customHeight="1" x14ac:dyDescent="0.3"/>
    <row r="39" spans="4:6" ht="13.35" customHeight="1" x14ac:dyDescent="0.3"/>
    <row r="40" spans="4:6" ht="13.35" customHeight="1" x14ac:dyDescent="0.3"/>
  </sheetData>
  <mergeCells count="27">
    <mergeCell ref="A26:C26"/>
    <mergeCell ref="A27:C27"/>
    <mergeCell ref="A29:C29"/>
    <mergeCell ref="A30:C30"/>
    <mergeCell ref="A32:C32"/>
    <mergeCell ref="A20:C20"/>
    <mergeCell ref="A22:C22"/>
    <mergeCell ref="A23:C23"/>
    <mergeCell ref="A24:C24"/>
    <mergeCell ref="A13:C13"/>
    <mergeCell ref="A14:C14"/>
    <mergeCell ref="A16:C16"/>
    <mergeCell ref="A17:C17"/>
    <mergeCell ref="A18:C18"/>
    <mergeCell ref="A19:C19"/>
    <mergeCell ref="A11:C11"/>
    <mergeCell ref="A12:C12"/>
    <mergeCell ref="A6:C6"/>
    <mergeCell ref="A7:C7"/>
    <mergeCell ref="A9:C9"/>
    <mergeCell ref="A10:C10"/>
    <mergeCell ref="A8:C8"/>
    <mergeCell ref="A1:F1"/>
    <mergeCell ref="A2:F2"/>
    <mergeCell ref="A3:F3"/>
    <mergeCell ref="A4:F4"/>
    <mergeCell ref="B5:C5"/>
  </mergeCells>
  <pageMargins left="0.25" right="0.25" top="0.25" bottom="0.2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BD2-CF7E-4D16-87AA-3BE2977E8980}">
  <dimension ref="A1:Q49"/>
  <sheetViews>
    <sheetView zoomScale="90" zoomScaleNormal="90" workbookViewId="0">
      <selection activeCell="M14" sqref="M13:M14"/>
    </sheetView>
  </sheetViews>
  <sheetFormatPr defaultRowHeight="16.5" x14ac:dyDescent="0.3"/>
  <cols>
    <col min="1" max="1" width="14.5703125" style="18" customWidth="1"/>
    <col min="2" max="2" width="7.5703125" style="18" customWidth="1"/>
    <col min="3" max="3" width="39.42578125" style="18" customWidth="1"/>
    <col min="4" max="4" width="14.5703125" style="18" customWidth="1"/>
    <col min="5" max="5" width="17.42578125" style="18" customWidth="1"/>
    <col min="6" max="6" width="14.5703125" style="18" customWidth="1"/>
    <col min="7" max="7" width="2.85546875" style="25" customWidth="1"/>
    <col min="8" max="8" width="14.5703125" style="18" customWidth="1"/>
    <col min="9" max="9" width="9.140625" style="61"/>
    <col min="10" max="10" width="14.5703125" style="18" bestFit="1" customWidth="1"/>
    <col min="11" max="11" width="14.28515625" style="18" customWidth="1"/>
    <col min="12" max="12" width="14.5703125" style="18" bestFit="1" customWidth="1"/>
    <col min="13" max="13" width="9.85546875" style="18" bestFit="1" customWidth="1"/>
    <col min="14" max="16" width="9.140625" style="18"/>
    <col min="17" max="17" width="14.5703125" style="76" bestFit="1" customWidth="1"/>
    <col min="18" max="16384" width="9.140625" style="18"/>
  </cols>
  <sheetData>
    <row r="1" spans="1:13" ht="19.899999999999999" customHeight="1" x14ac:dyDescent="0.3">
      <c r="A1" s="131" t="s">
        <v>0</v>
      </c>
      <c r="B1" s="131"/>
      <c r="C1" s="131"/>
      <c r="D1" s="131"/>
      <c r="E1" s="131"/>
      <c r="F1" s="44"/>
    </row>
    <row r="2" spans="1:13" ht="19.899999999999999" customHeight="1" x14ac:dyDescent="0.3">
      <c r="A2" s="131" t="s">
        <v>42</v>
      </c>
      <c r="B2" s="131"/>
      <c r="C2" s="131"/>
      <c r="D2" s="131"/>
      <c r="E2" s="131"/>
      <c r="F2" s="44"/>
    </row>
    <row r="3" spans="1:13" ht="16.899999999999999" customHeight="1" x14ac:dyDescent="0.3">
      <c r="A3" s="131" t="s">
        <v>185</v>
      </c>
      <c r="B3" s="131"/>
      <c r="C3" s="131"/>
      <c r="D3" s="131"/>
      <c r="E3" s="131"/>
      <c r="F3" s="44"/>
    </row>
    <row r="4" spans="1:13" ht="15.75" customHeight="1" x14ac:dyDescent="0.3">
      <c r="A4" s="134"/>
      <c r="B4" s="134"/>
      <c r="C4" s="134"/>
      <c r="D4" s="134"/>
      <c r="E4" s="134"/>
      <c r="F4" s="45"/>
    </row>
    <row r="5" spans="1:13" ht="48.75" customHeight="1" x14ac:dyDescent="0.3">
      <c r="A5" s="19"/>
      <c r="B5" s="135"/>
      <c r="C5" s="135"/>
      <c r="D5" s="20" t="s">
        <v>121</v>
      </c>
      <c r="E5" s="20" t="s">
        <v>43</v>
      </c>
      <c r="F5" s="58" t="s">
        <v>171</v>
      </c>
      <c r="H5" s="79" t="s">
        <v>149</v>
      </c>
    </row>
    <row r="6" spans="1:13" ht="15.75" customHeight="1" x14ac:dyDescent="0.3">
      <c r="A6" s="130" t="s">
        <v>41</v>
      </c>
      <c r="B6" s="130"/>
      <c r="C6" s="130"/>
      <c r="D6" s="14"/>
      <c r="E6" s="14"/>
      <c r="F6" s="14"/>
    </row>
    <row r="7" spans="1:13" ht="15.75" customHeight="1" x14ac:dyDescent="0.3">
      <c r="A7" s="130" t="s">
        <v>40</v>
      </c>
      <c r="B7" s="130"/>
      <c r="C7" s="130"/>
      <c r="D7" s="5">
        <v>135250</v>
      </c>
      <c r="E7" s="5">
        <v>3454952.34</v>
      </c>
      <c r="F7" s="5">
        <f>SUM(D7:E7)</f>
        <v>3590202.34</v>
      </c>
      <c r="H7" s="7">
        <v>1713676.18</v>
      </c>
      <c r="I7" s="61" t="s">
        <v>166</v>
      </c>
      <c r="J7" s="57"/>
      <c r="L7" s="57"/>
    </row>
    <row r="8" spans="1:13" ht="15.75" customHeight="1" x14ac:dyDescent="0.3">
      <c r="A8" s="130" t="s">
        <v>39</v>
      </c>
      <c r="B8" s="130"/>
      <c r="C8" s="130"/>
      <c r="D8" s="5">
        <v>0</v>
      </c>
      <c r="E8" s="5">
        <v>9712.81</v>
      </c>
      <c r="F8" s="5">
        <f t="shared" ref="F8:F13" si="0">SUM(D8:E8)</f>
        <v>9712.81</v>
      </c>
      <c r="H8" s="7">
        <v>12100.46</v>
      </c>
      <c r="J8" s="57"/>
      <c r="K8" s="57"/>
    </row>
    <row r="9" spans="1:13" ht="15.75" customHeight="1" x14ac:dyDescent="0.3">
      <c r="A9" s="130" t="s">
        <v>38</v>
      </c>
      <c r="B9" s="130"/>
      <c r="C9" s="130"/>
      <c r="D9" s="5">
        <v>1276712.3</v>
      </c>
      <c r="E9" s="5">
        <v>1376747.51</v>
      </c>
      <c r="F9" s="5">
        <f t="shared" si="0"/>
        <v>2653459.81</v>
      </c>
      <c r="H9" s="89">
        <v>1290982.75</v>
      </c>
      <c r="J9" s="57"/>
      <c r="M9" s="57"/>
    </row>
    <row r="10" spans="1:13" ht="15.75" customHeight="1" x14ac:dyDescent="0.3">
      <c r="A10" s="130" t="s">
        <v>37</v>
      </c>
      <c r="B10" s="130"/>
      <c r="C10" s="130"/>
      <c r="D10" s="5">
        <v>108281.96</v>
      </c>
      <c r="E10" s="5">
        <v>130671.99</v>
      </c>
      <c r="F10" s="5">
        <f t="shared" si="0"/>
        <v>238953.95</v>
      </c>
      <c r="H10" s="89">
        <v>266003.74</v>
      </c>
      <c r="J10" s="57"/>
    </row>
    <row r="11" spans="1:13" ht="15.75" customHeight="1" x14ac:dyDescent="0.3">
      <c r="A11" s="132" t="s">
        <v>136</v>
      </c>
      <c r="B11" s="132"/>
      <c r="C11" s="132"/>
      <c r="D11" s="5">
        <v>126148.41</v>
      </c>
      <c r="E11" s="5">
        <v>0</v>
      </c>
      <c r="F11" s="5">
        <f t="shared" si="0"/>
        <v>126148.41</v>
      </c>
      <c r="H11" s="7">
        <v>322827</v>
      </c>
      <c r="J11" s="57"/>
    </row>
    <row r="12" spans="1:13" ht="15.75" customHeight="1" x14ac:dyDescent="0.3">
      <c r="A12" s="133" t="s">
        <v>173</v>
      </c>
      <c r="B12" s="133"/>
      <c r="C12" s="133"/>
      <c r="D12" s="5">
        <v>84690</v>
      </c>
      <c r="E12" s="5"/>
      <c r="F12" s="5">
        <f t="shared" si="0"/>
        <v>84690</v>
      </c>
      <c r="H12" s="7">
        <v>13265.66</v>
      </c>
      <c r="J12" s="57"/>
    </row>
    <row r="13" spans="1:13" ht="15.75" customHeight="1" x14ac:dyDescent="0.3">
      <c r="A13" s="130" t="s">
        <v>147</v>
      </c>
      <c r="B13" s="130"/>
      <c r="C13" s="130"/>
      <c r="D13" s="5">
        <f>133521.16-D29</f>
        <v>89843.16</v>
      </c>
      <c r="E13" s="5">
        <v>0</v>
      </c>
      <c r="F13" s="5">
        <f t="shared" si="0"/>
        <v>89843.16</v>
      </c>
      <c r="G13" s="51"/>
      <c r="H13" s="89">
        <f>154140-H29</f>
        <v>67300</v>
      </c>
      <c r="J13" s="57"/>
      <c r="L13" s="57"/>
    </row>
    <row r="14" spans="1:13" ht="15.75" customHeight="1" x14ac:dyDescent="0.3">
      <c r="A14" s="130" t="s">
        <v>36</v>
      </c>
      <c r="B14" s="130"/>
      <c r="C14" s="130"/>
      <c r="D14" s="82">
        <v>1378520</v>
      </c>
      <c r="E14" s="82">
        <v>-1378519.8</v>
      </c>
      <c r="F14" s="5">
        <f t="shared" ref="F14:F15" si="1">SUM(D14:E14)</f>
        <v>0.19999999995343387</v>
      </c>
      <c r="G14" s="55"/>
      <c r="H14" s="7"/>
      <c r="J14" s="57"/>
      <c r="L14" s="57"/>
    </row>
    <row r="15" spans="1:13" ht="15.75" customHeight="1" x14ac:dyDescent="0.3">
      <c r="A15" s="130" t="s">
        <v>35</v>
      </c>
      <c r="B15" s="130"/>
      <c r="C15" s="130"/>
      <c r="D15" s="8">
        <f>SUM(D7:D14)</f>
        <v>3199445.83</v>
      </c>
      <c r="E15" s="8">
        <f>SUM(E7:E14)</f>
        <v>3593564.8500000006</v>
      </c>
      <c r="F15" s="46">
        <f t="shared" si="1"/>
        <v>6793010.6800000006</v>
      </c>
      <c r="G15" s="54"/>
      <c r="H15" s="60">
        <f>SUM(H7:H14)</f>
        <v>3686155.79</v>
      </c>
      <c r="J15" s="57"/>
      <c r="K15" s="57"/>
      <c r="L15" s="57"/>
    </row>
    <row r="16" spans="1:13" ht="15.75" customHeight="1" x14ac:dyDescent="0.3">
      <c r="D16" s="7"/>
      <c r="E16" s="7"/>
      <c r="F16" s="7"/>
      <c r="H16" s="7"/>
      <c r="J16" s="57"/>
    </row>
    <row r="17" spans="1:11" ht="15.75" customHeight="1" x14ac:dyDescent="0.3">
      <c r="A17" s="130" t="s">
        <v>34</v>
      </c>
      <c r="B17" s="130"/>
      <c r="C17" s="130"/>
      <c r="D17" s="7"/>
      <c r="E17" s="7"/>
      <c r="F17" s="7"/>
      <c r="H17" s="7"/>
      <c r="J17" s="57"/>
    </row>
    <row r="18" spans="1:11" ht="15.75" customHeight="1" x14ac:dyDescent="0.3">
      <c r="A18" s="130" t="s">
        <v>33</v>
      </c>
      <c r="B18" s="130"/>
      <c r="C18" s="130"/>
      <c r="D18" s="7"/>
      <c r="E18" s="7"/>
      <c r="F18" s="7"/>
      <c r="H18" s="7"/>
      <c r="J18" s="57"/>
    </row>
    <row r="19" spans="1:11" ht="15.75" customHeight="1" x14ac:dyDescent="0.3">
      <c r="A19" s="130" t="s">
        <v>32</v>
      </c>
      <c r="B19" s="130"/>
      <c r="C19" s="130"/>
      <c r="D19" s="5">
        <f>'Functional Exp'!B37</f>
        <v>1184706.5200000005</v>
      </c>
      <c r="E19" s="5"/>
      <c r="F19" s="5">
        <f>SUM(D19:E19)</f>
        <v>1184706.5200000005</v>
      </c>
      <c r="H19" s="7">
        <v>1567799</v>
      </c>
      <c r="J19" s="76"/>
      <c r="K19" s="57"/>
    </row>
    <row r="20" spans="1:11" ht="15.75" customHeight="1" x14ac:dyDescent="0.3">
      <c r="A20" s="130" t="s">
        <v>31</v>
      </c>
      <c r="B20" s="130"/>
      <c r="C20" s="130"/>
      <c r="D20" s="5">
        <f>'Functional Exp'!C37</f>
        <v>684723</v>
      </c>
      <c r="E20" s="5"/>
      <c r="F20" s="5">
        <f t="shared" ref="F20:F27" si="2">SUM(D20:E20)</f>
        <v>684723</v>
      </c>
      <c r="H20" s="7">
        <v>1185210.76</v>
      </c>
      <c r="J20" s="76"/>
    </row>
    <row r="21" spans="1:11" ht="15.75" customHeight="1" x14ac:dyDescent="0.3">
      <c r="A21" s="130" t="s">
        <v>30</v>
      </c>
      <c r="B21" s="130"/>
      <c r="C21" s="130"/>
      <c r="D21" s="5">
        <f>'Functional Exp'!D37</f>
        <v>50654.47</v>
      </c>
      <c r="E21" s="5"/>
      <c r="F21" s="5">
        <f t="shared" si="2"/>
        <v>50654.47</v>
      </c>
      <c r="H21" s="7">
        <v>424670.5</v>
      </c>
      <c r="J21" s="76"/>
    </row>
    <row r="22" spans="1:11" ht="15.75" customHeight="1" x14ac:dyDescent="0.3">
      <c r="A22" s="130" t="s">
        <v>29</v>
      </c>
      <c r="B22" s="130"/>
      <c r="C22" s="130"/>
      <c r="D22" s="8">
        <f>SUM(D19:D21)</f>
        <v>1920083.9900000005</v>
      </c>
      <c r="E22" s="8">
        <v>0</v>
      </c>
      <c r="F22" s="46">
        <f t="shared" si="2"/>
        <v>1920083.9900000005</v>
      </c>
      <c r="H22" s="60">
        <f>SUM(H19:H21)</f>
        <v>3177680.26</v>
      </c>
    </row>
    <row r="23" spans="1:11" ht="15.75" customHeight="1" x14ac:dyDescent="0.3">
      <c r="A23" s="130" t="s">
        <v>28</v>
      </c>
      <c r="B23" s="130"/>
      <c r="C23" s="130"/>
      <c r="D23" s="7"/>
      <c r="E23" s="7"/>
      <c r="F23" s="5"/>
      <c r="H23" s="7"/>
      <c r="K23" s="57"/>
    </row>
    <row r="24" spans="1:11" ht="15.75" customHeight="1" x14ac:dyDescent="0.3">
      <c r="A24" s="130" t="s">
        <v>27</v>
      </c>
      <c r="B24" s="130"/>
      <c r="C24" s="130"/>
      <c r="D24" s="5">
        <f>'Functional Exp'!F37</f>
        <v>140713.50999999998</v>
      </c>
      <c r="E24" s="5"/>
      <c r="F24" s="5">
        <f t="shared" si="2"/>
        <v>140713.50999999998</v>
      </c>
      <c r="H24" s="7">
        <v>187580.85</v>
      </c>
      <c r="J24" s="57"/>
    </row>
    <row r="25" spans="1:11" ht="15.75" customHeight="1" x14ac:dyDescent="0.3">
      <c r="A25" s="130" t="s">
        <v>26</v>
      </c>
      <c r="B25" s="130"/>
      <c r="C25" s="130"/>
      <c r="D25" s="5">
        <f>'Functional Exp'!G37</f>
        <v>689129.4</v>
      </c>
      <c r="E25" s="5"/>
      <c r="F25" s="5">
        <f t="shared" si="2"/>
        <v>689129.4</v>
      </c>
      <c r="H25" s="7">
        <v>673343.98</v>
      </c>
    </row>
    <row r="26" spans="1:11" ht="15.75" customHeight="1" x14ac:dyDescent="0.3">
      <c r="A26" s="130" t="s">
        <v>25</v>
      </c>
      <c r="B26" s="130"/>
      <c r="C26" s="130"/>
      <c r="D26" s="8">
        <f>SUM(D24:D25)</f>
        <v>829842.91</v>
      </c>
      <c r="E26" s="8">
        <v>0</v>
      </c>
      <c r="F26" s="46">
        <f t="shared" si="2"/>
        <v>829842.91</v>
      </c>
      <c r="H26" s="60">
        <f>SUM(H24:H25)</f>
        <v>860924.83</v>
      </c>
    </row>
    <row r="27" spans="1:11" ht="15.75" customHeight="1" x14ac:dyDescent="0.3">
      <c r="A27" s="130" t="s">
        <v>24</v>
      </c>
      <c r="B27" s="130"/>
      <c r="C27" s="130"/>
      <c r="D27" s="15">
        <f>D22+D26</f>
        <v>2749926.9000000004</v>
      </c>
      <c r="E27" s="15">
        <v>0</v>
      </c>
      <c r="F27" s="46">
        <f t="shared" si="2"/>
        <v>2749926.9000000004</v>
      </c>
      <c r="G27" s="51"/>
      <c r="H27" s="60">
        <f>H22+H26</f>
        <v>4038605.09</v>
      </c>
      <c r="J27" s="53"/>
      <c r="K27" s="57"/>
    </row>
    <row r="28" spans="1:11" ht="15.75" customHeight="1" x14ac:dyDescent="0.3">
      <c r="D28" s="7"/>
      <c r="E28" s="7"/>
      <c r="F28" s="5"/>
      <c r="H28" s="7"/>
    </row>
    <row r="29" spans="1:11" ht="15.75" customHeight="1" x14ac:dyDescent="0.3">
      <c r="A29" s="18" t="s">
        <v>177</v>
      </c>
      <c r="D29" s="7">
        <f>90237-46559</f>
        <v>43678</v>
      </c>
      <c r="E29" s="7"/>
      <c r="F29" s="5">
        <f>D29+E29</f>
        <v>43678</v>
      </c>
      <c r="H29" s="89">
        <v>86840</v>
      </c>
    </row>
    <row r="30" spans="1:11" ht="15.75" customHeight="1" x14ac:dyDescent="0.3">
      <c r="D30" s="7"/>
      <c r="E30" s="7"/>
      <c r="F30" s="5"/>
      <c r="H30" s="7"/>
      <c r="J30" s="57"/>
    </row>
    <row r="31" spans="1:11" ht="15.75" customHeight="1" x14ac:dyDescent="0.3">
      <c r="A31" s="131" t="s">
        <v>23</v>
      </c>
      <c r="B31" s="131"/>
      <c r="C31" s="131"/>
      <c r="D31" s="16">
        <v>3979553</v>
      </c>
      <c r="E31" s="16">
        <v>2965918</v>
      </c>
      <c r="F31" s="16">
        <f>D31+E31</f>
        <v>6945471</v>
      </c>
      <c r="H31" s="62">
        <v>9326655.5800000001</v>
      </c>
    </row>
    <row r="32" spans="1:11" ht="15.75" customHeight="1" x14ac:dyDescent="0.3">
      <c r="D32" s="7"/>
      <c r="E32" s="7"/>
      <c r="F32" s="7"/>
      <c r="H32" s="62"/>
    </row>
    <row r="33" spans="1:11" ht="15.75" customHeight="1" x14ac:dyDescent="0.3">
      <c r="A33" s="131" t="s">
        <v>22</v>
      </c>
      <c r="B33" s="131"/>
      <c r="C33" s="131"/>
      <c r="D33" s="16">
        <f>D15-D27+D29</f>
        <v>493196.9299999997</v>
      </c>
      <c r="E33" s="16">
        <f t="shared" ref="E33:F33" si="3">E15-E27+E29</f>
        <v>3593564.8500000006</v>
      </c>
      <c r="F33" s="16">
        <f t="shared" si="3"/>
        <v>4086761.7800000003</v>
      </c>
      <c r="H33" s="62">
        <f>H15-H27+H29</f>
        <v>-265609.29999999981</v>
      </c>
      <c r="J33" s="57"/>
      <c r="K33" s="57"/>
    </row>
    <row r="34" spans="1:11" ht="15.75" customHeight="1" x14ac:dyDescent="0.3">
      <c r="D34" s="7"/>
      <c r="E34" s="7"/>
      <c r="F34" s="7"/>
      <c r="H34" s="62"/>
    </row>
    <row r="35" spans="1:11" ht="15.75" customHeight="1" thickBot="1" x14ac:dyDescent="0.35">
      <c r="A35" s="131" t="s">
        <v>21</v>
      </c>
      <c r="B35" s="131"/>
      <c r="C35" s="131"/>
      <c r="D35" s="17">
        <f>D31+D33</f>
        <v>4472749.93</v>
      </c>
      <c r="E35" s="17">
        <f>E31+E33</f>
        <v>6559482.8500000006</v>
      </c>
      <c r="F35" s="17">
        <f>F31+F33</f>
        <v>11032232.780000001</v>
      </c>
      <c r="H35" s="63">
        <f>H31+H33</f>
        <v>9061046.2800000012</v>
      </c>
    </row>
    <row r="36" spans="1:11" ht="15.75" customHeight="1" thickTop="1" x14ac:dyDescent="0.3"/>
    <row r="37" spans="1:11" ht="13.35" customHeight="1" x14ac:dyDescent="0.3">
      <c r="H37" s="57"/>
    </row>
    <row r="38" spans="1:11" ht="13.35" customHeight="1" x14ac:dyDescent="0.3">
      <c r="D38" s="53"/>
      <c r="E38" s="53"/>
      <c r="F38" s="53"/>
      <c r="H38" s="53"/>
    </row>
    <row r="39" spans="1:11" ht="13.35" customHeight="1" x14ac:dyDescent="0.3">
      <c r="F39" s="57"/>
    </row>
    <row r="40" spans="1:11" ht="13.35" customHeight="1" x14ac:dyDescent="0.3"/>
    <row r="41" spans="1:11" ht="13.35" customHeight="1" x14ac:dyDescent="0.3">
      <c r="D41" s="57"/>
    </row>
    <row r="42" spans="1:11" ht="13.35" customHeight="1" x14ac:dyDescent="0.3">
      <c r="F42" s="57"/>
    </row>
    <row r="43" spans="1:11" ht="13.35" customHeight="1" x14ac:dyDescent="0.3"/>
    <row r="44" spans="1:11" ht="13.35" customHeight="1" x14ac:dyDescent="0.3"/>
    <row r="45" spans="1:11" ht="13.35" customHeight="1" x14ac:dyDescent="0.3"/>
    <row r="46" spans="1:11" ht="13.35" customHeight="1" x14ac:dyDescent="0.3"/>
    <row r="47" spans="1:11" ht="13.35" customHeight="1" x14ac:dyDescent="0.3"/>
    <row r="48" spans="1:11" ht="13.35" customHeight="1" x14ac:dyDescent="0.3"/>
    <row r="49" ht="13.35" customHeight="1" x14ac:dyDescent="0.3"/>
  </sheetData>
  <mergeCells count="29">
    <mergeCell ref="A6:C6"/>
    <mergeCell ref="A7:C7"/>
    <mergeCell ref="A8:C8"/>
    <mergeCell ref="A1:E1"/>
    <mergeCell ref="A2:E2"/>
    <mergeCell ref="A3:E3"/>
    <mergeCell ref="A4:E4"/>
    <mergeCell ref="B5:C5"/>
    <mergeCell ref="A9:C9"/>
    <mergeCell ref="A10:C10"/>
    <mergeCell ref="A13:C13"/>
    <mergeCell ref="A14:C14"/>
    <mergeCell ref="A11:C11"/>
    <mergeCell ref="A12:C12"/>
    <mergeCell ref="A15:C15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35:C35"/>
    <mergeCell ref="A27:C27"/>
    <mergeCell ref="A31:C31"/>
    <mergeCell ref="A33:C33"/>
  </mergeCells>
  <pageMargins left="0.25" right="0.25" top="0.25" bottom="0.25" header="0.5" footer="0.5"/>
  <pageSetup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03D9-FDB7-4A1C-B843-5745A394AC2F}">
  <dimension ref="A1:M45"/>
  <sheetViews>
    <sheetView zoomScale="90" zoomScaleNormal="90" workbookViewId="0">
      <selection activeCell="M9" sqref="M9"/>
    </sheetView>
  </sheetViews>
  <sheetFormatPr defaultRowHeight="16.5" x14ac:dyDescent="0.3"/>
  <cols>
    <col min="1" max="1" width="51.28515625" style="18" customWidth="1"/>
    <col min="2" max="5" width="12.7109375" style="18" customWidth="1"/>
    <col min="6" max="6" width="15.7109375" style="18" customWidth="1"/>
    <col min="7" max="9" width="12.7109375" style="18" customWidth="1"/>
    <col min="10" max="10" width="3.140625" style="18" customWidth="1"/>
    <col min="11" max="11" width="12.28515625" style="53" customWidth="1"/>
    <col min="12" max="12" width="14.42578125" style="14" customWidth="1"/>
    <col min="13" max="13" width="9.140625" style="94"/>
    <col min="14" max="16384" width="9.140625" style="18"/>
  </cols>
  <sheetData>
    <row r="1" spans="1:13" s="48" customFormat="1" ht="19.5" customHeight="1" x14ac:dyDescent="0.25">
      <c r="A1" s="48" t="s">
        <v>123</v>
      </c>
      <c r="B1" s="131"/>
      <c r="C1" s="131"/>
      <c r="D1" s="131"/>
      <c r="E1" s="131"/>
      <c r="F1" s="131"/>
      <c r="G1" s="131"/>
      <c r="H1" s="131"/>
      <c r="I1" s="131"/>
      <c r="K1" s="91"/>
      <c r="L1" s="103"/>
      <c r="M1" s="93"/>
    </row>
    <row r="2" spans="1:13" s="48" customFormat="1" ht="19.5" customHeight="1" x14ac:dyDescent="0.25">
      <c r="A2" s="48" t="s">
        <v>124</v>
      </c>
      <c r="B2" s="131"/>
      <c r="C2" s="131"/>
      <c r="D2" s="131"/>
      <c r="E2" s="131"/>
      <c r="F2" s="131"/>
      <c r="G2" s="131"/>
      <c r="H2" s="131"/>
      <c r="I2" s="131"/>
      <c r="K2" s="91"/>
      <c r="L2" s="103"/>
      <c r="M2" s="93"/>
    </row>
    <row r="3" spans="1:13" s="48" customFormat="1" ht="19.5" customHeight="1" x14ac:dyDescent="0.25">
      <c r="A3" s="48" t="s">
        <v>186</v>
      </c>
      <c r="B3" s="131"/>
      <c r="C3" s="131"/>
      <c r="D3" s="131"/>
      <c r="E3" s="131"/>
      <c r="F3" s="131"/>
      <c r="G3" s="131"/>
      <c r="H3" s="131"/>
      <c r="I3" s="131"/>
      <c r="K3" s="91"/>
      <c r="L3" s="103"/>
      <c r="M3" s="93"/>
    </row>
    <row r="4" spans="1:13" ht="15.75" customHeight="1" x14ac:dyDescent="0.3">
      <c r="A4" s="59"/>
      <c r="B4" s="134"/>
      <c r="C4" s="134"/>
      <c r="D4" s="134"/>
      <c r="E4" s="134"/>
      <c r="F4" s="134"/>
      <c r="G4" s="134"/>
      <c r="H4" s="134"/>
      <c r="I4" s="134"/>
    </row>
    <row r="5" spans="1:13" ht="15.75" customHeight="1" x14ac:dyDescent="0.3">
      <c r="B5" s="136" t="s">
        <v>75</v>
      </c>
      <c r="C5" s="136"/>
      <c r="D5" s="136"/>
      <c r="E5" s="136"/>
      <c r="F5" s="136" t="s">
        <v>74</v>
      </c>
      <c r="G5" s="136"/>
      <c r="H5" s="136"/>
    </row>
    <row r="6" spans="1:13" ht="53.25" customHeight="1" x14ac:dyDescent="0.3">
      <c r="B6" s="20" t="s">
        <v>73</v>
      </c>
      <c r="C6" s="20" t="s">
        <v>72</v>
      </c>
      <c r="D6" s="20" t="s">
        <v>71</v>
      </c>
      <c r="E6" s="20" t="s">
        <v>70</v>
      </c>
      <c r="F6" s="21" t="s">
        <v>69</v>
      </c>
      <c r="G6" s="21" t="s">
        <v>68</v>
      </c>
      <c r="H6" s="20" t="s">
        <v>67</v>
      </c>
      <c r="I6" s="21" t="s">
        <v>66</v>
      </c>
      <c r="J6" s="114"/>
      <c r="K6" s="92" t="s">
        <v>150</v>
      </c>
      <c r="L6" s="105" t="s">
        <v>151</v>
      </c>
    </row>
    <row r="7" spans="1:13" ht="15.75" customHeight="1" x14ac:dyDescent="0.3">
      <c r="J7" s="114"/>
    </row>
    <row r="8" spans="1:13" ht="15.75" customHeight="1" x14ac:dyDescent="0.3">
      <c r="A8" s="18" t="s">
        <v>65</v>
      </c>
      <c r="B8" s="5">
        <v>867749.47395994759</v>
      </c>
      <c r="C8" s="5">
        <v>242965.94724789876</v>
      </c>
      <c r="D8" s="5">
        <v>6489.2712237536925</v>
      </c>
      <c r="E8" s="5">
        <f>SUM(B8:D8)</f>
        <v>1117204.6924316001</v>
      </c>
      <c r="F8" s="5">
        <v>78219.377005737013</v>
      </c>
      <c r="G8" s="5">
        <v>246595.98056266297</v>
      </c>
      <c r="H8" s="5">
        <f>SUM(F8:G8)</f>
        <v>324815.35756839998</v>
      </c>
      <c r="I8" s="5">
        <f>E8+H8</f>
        <v>1442020.05</v>
      </c>
      <c r="J8" s="114"/>
      <c r="K8" s="7">
        <v>2029324.73</v>
      </c>
      <c r="L8" s="104">
        <f>I8-K8</f>
        <v>-587304.67999999993</v>
      </c>
      <c r="M8" s="94" t="s">
        <v>190</v>
      </c>
    </row>
    <row r="9" spans="1:13" ht="15.75" customHeight="1" x14ac:dyDescent="0.3">
      <c r="A9" s="18" t="s">
        <v>64</v>
      </c>
      <c r="B9" s="5">
        <v>35525.681158273132</v>
      </c>
      <c r="C9" s="5">
        <v>34537.38957928594</v>
      </c>
      <c r="D9" s="5">
        <v>34975.866878968882</v>
      </c>
      <c r="E9" s="5">
        <f t="shared" ref="E9:E13" si="0">SUM(B9:D9)</f>
        <v>105038.93761652795</v>
      </c>
      <c r="F9" s="5">
        <v>22969.794391395251</v>
      </c>
      <c r="G9" s="5">
        <v>55444.337992076798</v>
      </c>
      <c r="H9" s="5">
        <f t="shared" ref="H9:H36" si="1">SUM(F9:G9)</f>
        <v>78414.132383472053</v>
      </c>
      <c r="I9" s="5">
        <f t="shared" ref="I9:I35" si="2">E9+H9</f>
        <v>183453.07</v>
      </c>
      <c r="J9" s="115"/>
      <c r="K9" s="7">
        <v>404492.12</v>
      </c>
      <c r="L9" s="104">
        <f t="shared" ref="L9:L36" si="3">I9-K9</f>
        <v>-221039.05</v>
      </c>
      <c r="M9" s="94" t="s">
        <v>160</v>
      </c>
    </row>
    <row r="10" spans="1:13" ht="15.75" customHeight="1" x14ac:dyDescent="0.3">
      <c r="A10" s="18" t="s">
        <v>63</v>
      </c>
      <c r="B10" s="5">
        <v>43589.583907014763</v>
      </c>
      <c r="C10" s="5">
        <v>12151.434269242705</v>
      </c>
      <c r="D10" s="5">
        <v>574.89399576028222</v>
      </c>
      <c r="E10" s="5">
        <f t="shared" si="0"/>
        <v>56315.91217201775</v>
      </c>
      <c r="F10" s="5">
        <v>3975.7904768383032</v>
      </c>
      <c r="G10" s="5">
        <v>12237.27735114395</v>
      </c>
      <c r="H10" s="5">
        <f t="shared" si="1"/>
        <v>16213.067827982253</v>
      </c>
      <c r="I10" s="5">
        <f t="shared" si="2"/>
        <v>72528.98000000001</v>
      </c>
      <c r="J10" s="114"/>
      <c r="K10" s="7">
        <v>82780.399999999994</v>
      </c>
      <c r="L10" s="104">
        <f t="shared" si="3"/>
        <v>-10251.419999999984</v>
      </c>
    </row>
    <row r="11" spans="1:13" ht="15.75" customHeight="1" x14ac:dyDescent="0.3">
      <c r="A11" s="18" t="s">
        <v>62</v>
      </c>
      <c r="B11" s="5">
        <v>25963.17</v>
      </c>
      <c r="C11" s="5">
        <v>0</v>
      </c>
      <c r="D11" s="5">
        <v>0</v>
      </c>
      <c r="E11" s="5">
        <f t="shared" si="0"/>
        <v>25963.17</v>
      </c>
      <c r="F11" s="5">
        <v>0</v>
      </c>
      <c r="G11" s="5">
        <v>0</v>
      </c>
      <c r="H11" s="5">
        <f t="shared" si="1"/>
        <v>0</v>
      </c>
      <c r="I11" s="5">
        <f t="shared" si="2"/>
        <v>25963.17</v>
      </c>
      <c r="J11" s="114"/>
      <c r="K11" s="7">
        <v>50281.65</v>
      </c>
      <c r="L11" s="104">
        <f t="shared" si="3"/>
        <v>-24318.480000000003</v>
      </c>
    </row>
    <row r="12" spans="1:13" ht="15.75" customHeight="1" x14ac:dyDescent="0.3">
      <c r="A12" s="18" t="s">
        <v>61</v>
      </c>
      <c r="B12" s="5">
        <v>0</v>
      </c>
      <c r="C12" s="5">
        <v>292826.15999999997</v>
      </c>
      <c r="D12" s="5">
        <v>0</v>
      </c>
      <c r="E12" s="5">
        <f t="shared" si="0"/>
        <v>292826.15999999997</v>
      </c>
      <c r="F12" s="5">
        <v>0</v>
      </c>
      <c r="G12" s="5">
        <v>0</v>
      </c>
      <c r="H12" s="5">
        <f t="shared" si="1"/>
        <v>0</v>
      </c>
      <c r="I12" s="5">
        <f t="shared" si="2"/>
        <v>292826.15999999997</v>
      </c>
      <c r="J12" s="114"/>
      <c r="K12" s="7">
        <v>566312.22</v>
      </c>
      <c r="L12" s="104">
        <f t="shared" si="3"/>
        <v>-273486.06</v>
      </c>
      <c r="M12" s="94" t="s">
        <v>162</v>
      </c>
    </row>
    <row r="13" spans="1:13" ht="15.75" customHeight="1" x14ac:dyDescent="0.3">
      <c r="A13" s="18" t="s">
        <v>129</v>
      </c>
      <c r="B13" s="5">
        <v>450</v>
      </c>
      <c r="C13" s="5">
        <v>13761.55</v>
      </c>
      <c r="D13" s="5">
        <v>0</v>
      </c>
      <c r="E13" s="5">
        <f t="shared" si="0"/>
        <v>14211.55</v>
      </c>
      <c r="F13" s="5">
        <v>0</v>
      </c>
      <c r="G13" s="5">
        <v>0</v>
      </c>
      <c r="H13" s="5">
        <f t="shared" si="1"/>
        <v>0</v>
      </c>
      <c r="I13" s="5">
        <f t="shared" si="2"/>
        <v>14211.55</v>
      </c>
      <c r="J13" s="114"/>
      <c r="K13" s="7">
        <v>14750</v>
      </c>
      <c r="L13" s="104">
        <f t="shared" si="3"/>
        <v>-538.45000000000073</v>
      </c>
    </row>
    <row r="14" spans="1:13" ht="15.75" customHeight="1" x14ac:dyDescent="0.3">
      <c r="A14" s="18" t="s">
        <v>60</v>
      </c>
      <c r="B14" s="5">
        <v>10183.603944123179</v>
      </c>
      <c r="C14" s="5">
        <v>7663.5137148150952</v>
      </c>
      <c r="D14" s="5">
        <v>7.9184775763359971E-2</v>
      </c>
      <c r="E14" s="5">
        <f t="shared" ref="E14:E34" si="4">SUM(B14:D14)</f>
        <v>17847.196843714039</v>
      </c>
      <c r="F14" s="5">
        <v>0.54761761248558372</v>
      </c>
      <c r="G14" s="5">
        <v>2553.3155386734784</v>
      </c>
      <c r="H14" s="5">
        <f t="shared" si="1"/>
        <v>2553.8631562859641</v>
      </c>
      <c r="I14" s="5">
        <f t="shared" si="2"/>
        <v>20401.060000000001</v>
      </c>
      <c r="J14" s="114"/>
      <c r="K14" s="7">
        <v>224090.43</v>
      </c>
      <c r="L14" s="104">
        <f t="shared" si="3"/>
        <v>-203689.37</v>
      </c>
      <c r="M14" s="94" t="s">
        <v>161</v>
      </c>
    </row>
    <row r="15" spans="1:13" ht="15.75" customHeight="1" x14ac:dyDescent="0.3">
      <c r="A15" s="18" t="s">
        <v>59</v>
      </c>
      <c r="B15" s="5">
        <v>6145.1416986387339</v>
      </c>
      <c r="C15" s="5">
        <v>13605.949160418051</v>
      </c>
      <c r="D15" s="5">
        <v>600.43170156287522</v>
      </c>
      <c r="E15" s="5">
        <f t="shared" si="4"/>
        <v>20351.522560619662</v>
      </c>
      <c r="F15" s="5">
        <v>4371.4495969658055</v>
      </c>
      <c r="G15" s="82">
        <v>224557.48784241453</v>
      </c>
      <c r="H15" s="5">
        <f t="shared" si="1"/>
        <v>228928.93743938033</v>
      </c>
      <c r="I15" s="5">
        <f t="shared" si="2"/>
        <v>249280.46</v>
      </c>
      <c r="J15" s="114"/>
      <c r="K15" s="7">
        <v>252506.82</v>
      </c>
      <c r="L15" s="104">
        <f t="shared" si="3"/>
        <v>-3226.3600000000151</v>
      </c>
    </row>
    <row r="16" spans="1:13" ht="15.75" customHeight="1" x14ac:dyDescent="0.3">
      <c r="A16" s="18" t="s">
        <v>58</v>
      </c>
      <c r="B16" s="5">
        <v>16754.990000000002</v>
      </c>
      <c r="C16" s="5">
        <v>0</v>
      </c>
      <c r="D16" s="5">
        <v>714.99</v>
      </c>
      <c r="E16" s="5">
        <f t="shared" si="4"/>
        <v>17469.980000000003</v>
      </c>
      <c r="F16" s="5">
        <v>0</v>
      </c>
      <c r="G16" s="5">
        <v>235</v>
      </c>
      <c r="H16" s="5">
        <f t="shared" si="1"/>
        <v>235</v>
      </c>
      <c r="I16" s="5">
        <f t="shared" si="2"/>
        <v>17704.980000000003</v>
      </c>
      <c r="J16" s="114"/>
      <c r="K16" s="7">
        <v>17076.04</v>
      </c>
      <c r="L16" s="104">
        <f t="shared" si="3"/>
        <v>628.94000000000233</v>
      </c>
      <c r="M16" s="94" t="s">
        <v>154</v>
      </c>
    </row>
    <row r="17" spans="1:13" ht="15.75" customHeight="1" x14ac:dyDescent="0.3">
      <c r="A17" s="18" t="s">
        <v>57</v>
      </c>
      <c r="B17" s="5">
        <v>4162.8599999999997</v>
      </c>
      <c r="C17" s="5">
        <v>2269.2199999999998</v>
      </c>
      <c r="D17" s="5">
        <v>0</v>
      </c>
      <c r="E17" s="5">
        <f t="shared" si="4"/>
        <v>6432.08</v>
      </c>
      <c r="F17" s="5">
        <v>0</v>
      </c>
      <c r="G17" s="5">
        <v>1772.9</v>
      </c>
      <c r="H17" s="5">
        <f t="shared" si="1"/>
        <v>1772.9</v>
      </c>
      <c r="I17" s="5">
        <f t="shared" si="2"/>
        <v>8204.98</v>
      </c>
      <c r="J17" s="114"/>
      <c r="K17" s="7">
        <v>7332</v>
      </c>
      <c r="L17" s="104">
        <f t="shared" si="3"/>
        <v>872.97999999999956</v>
      </c>
    </row>
    <row r="18" spans="1:13" ht="15.75" customHeight="1" x14ac:dyDescent="0.3">
      <c r="A18" s="18" t="s">
        <v>56</v>
      </c>
      <c r="B18" s="5">
        <v>0</v>
      </c>
      <c r="C18" s="5">
        <v>0</v>
      </c>
      <c r="D18" s="5">
        <v>0</v>
      </c>
      <c r="E18" s="5">
        <f t="shared" si="4"/>
        <v>0</v>
      </c>
      <c r="F18" s="5">
        <v>0</v>
      </c>
      <c r="G18" s="5">
        <v>100</v>
      </c>
      <c r="H18" s="5">
        <f t="shared" si="1"/>
        <v>100</v>
      </c>
      <c r="I18" s="5">
        <f t="shared" si="2"/>
        <v>100</v>
      </c>
      <c r="J18" s="114"/>
      <c r="K18" s="7">
        <v>491.94</v>
      </c>
      <c r="L18" s="104">
        <f t="shared" si="3"/>
        <v>-391.94</v>
      </c>
    </row>
    <row r="19" spans="1:13" ht="15.75" customHeight="1" x14ac:dyDescent="0.3">
      <c r="A19" s="18" t="s">
        <v>55</v>
      </c>
      <c r="B19" s="5">
        <v>0</v>
      </c>
      <c r="C19" s="5">
        <v>103.34</v>
      </c>
      <c r="D19" s="5">
        <v>0</v>
      </c>
      <c r="E19" s="5">
        <f t="shared" si="4"/>
        <v>103.34</v>
      </c>
      <c r="F19" s="5">
        <v>0</v>
      </c>
      <c r="G19" s="5">
        <v>2035.71</v>
      </c>
      <c r="H19" s="5">
        <f t="shared" si="1"/>
        <v>2035.71</v>
      </c>
      <c r="I19" s="5">
        <f t="shared" si="2"/>
        <v>2139.0500000000002</v>
      </c>
      <c r="J19" s="114"/>
      <c r="K19" s="7">
        <v>771.27</v>
      </c>
      <c r="L19" s="104">
        <f t="shared" si="3"/>
        <v>1367.7800000000002</v>
      </c>
    </row>
    <row r="20" spans="1:13" ht="15.75" customHeight="1" x14ac:dyDescent="0.3">
      <c r="A20" s="18" t="s">
        <v>77</v>
      </c>
      <c r="B20" s="5">
        <v>598.65152563537231</v>
      </c>
      <c r="C20" s="5">
        <v>206.88561834997071</v>
      </c>
      <c r="D20" s="5">
        <v>2507.8954910047933</v>
      </c>
      <c r="E20" s="5">
        <f t="shared" si="4"/>
        <v>3313.4326349901362</v>
      </c>
      <c r="F20" s="5">
        <v>54.602793172861858</v>
      </c>
      <c r="G20" s="5">
        <v>853.06457183700218</v>
      </c>
      <c r="H20" s="5">
        <f t="shared" si="1"/>
        <v>907.66736500986406</v>
      </c>
      <c r="I20" s="5">
        <f t="shared" si="2"/>
        <v>4221.1000000000004</v>
      </c>
      <c r="J20" s="114"/>
      <c r="K20" s="7">
        <v>4701.1400000000003</v>
      </c>
      <c r="L20" s="104">
        <f t="shared" si="3"/>
        <v>-480.03999999999996</v>
      </c>
    </row>
    <row r="21" spans="1:13" ht="15.75" customHeight="1" x14ac:dyDescent="0.3">
      <c r="A21" s="18" t="s">
        <v>122</v>
      </c>
      <c r="B21" s="5">
        <v>3689.07</v>
      </c>
      <c r="C21" s="5">
        <v>0</v>
      </c>
      <c r="D21" s="5">
        <v>2718.64</v>
      </c>
      <c r="E21" s="5">
        <f t="shared" si="4"/>
        <v>6407.71</v>
      </c>
      <c r="F21" s="5">
        <v>287.49</v>
      </c>
      <c r="G21" s="5">
        <v>1138.31</v>
      </c>
      <c r="H21" s="5">
        <f t="shared" si="1"/>
        <v>1425.8</v>
      </c>
      <c r="I21" s="5">
        <f t="shared" si="2"/>
        <v>7833.51</v>
      </c>
      <c r="J21" s="114"/>
      <c r="K21" s="7">
        <v>2706.71</v>
      </c>
      <c r="L21" s="104">
        <f t="shared" si="3"/>
        <v>5126.8</v>
      </c>
    </row>
    <row r="22" spans="1:13" ht="15.75" customHeight="1" x14ac:dyDescent="0.3">
      <c r="A22" s="18" t="s">
        <v>54</v>
      </c>
      <c r="B22" s="5">
        <v>3506.8880886268798</v>
      </c>
      <c r="C22" s="5">
        <v>646.696225897707</v>
      </c>
      <c r="D22" s="5">
        <v>11.92923799037605</v>
      </c>
      <c r="E22" s="5">
        <f t="shared" si="4"/>
        <v>4165.5135525149635</v>
      </c>
      <c r="F22" s="5">
        <v>82.498949628709056</v>
      </c>
      <c r="G22" s="5">
        <v>692.3374978563279</v>
      </c>
      <c r="H22" s="5">
        <f t="shared" si="1"/>
        <v>774.83644748503696</v>
      </c>
      <c r="I22" s="5">
        <f t="shared" si="2"/>
        <v>4940.3500000000004</v>
      </c>
      <c r="J22" s="114"/>
      <c r="K22" s="7">
        <v>11074.02</v>
      </c>
      <c r="L22" s="104">
        <f t="shared" si="3"/>
        <v>-6133.67</v>
      </c>
      <c r="M22" s="94" t="s">
        <v>155</v>
      </c>
    </row>
    <row r="23" spans="1:13" ht="15.75" customHeight="1" x14ac:dyDescent="0.3">
      <c r="A23" s="18" t="s">
        <v>53</v>
      </c>
      <c r="B23" s="5">
        <v>15733.84563882307</v>
      </c>
      <c r="C23" s="5">
        <v>1500.9452263440926</v>
      </c>
      <c r="D23" s="5">
        <v>71.010909450778186</v>
      </c>
      <c r="E23" s="5">
        <f t="shared" si="4"/>
        <v>17305.801774617939</v>
      </c>
      <c r="F23" s="5">
        <v>1630.3996610994591</v>
      </c>
      <c r="G23" s="5">
        <v>1527.5185642826</v>
      </c>
      <c r="H23" s="5">
        <f t="shared" si="1"/>
        <v>3157.9182253820591</v>
      </c>
      <c r="I23" s="5">
        <f t="shared" si="2"/>
        <v>20463.719999999998</v>
      </c>
      <c r="J23" s="114"/>
      <c r="K23" s="7">
        <v>18716.560000000001</v>
      </c>
      <c r="L23" s="104">
        <f t="shared" si="3"/>
        <v>1747.1599999999962</v>
      </c>
    </row>
    <row r="24" spans="1:13" ht="15.75" customHeight="1" x14ac:dyDescent="0.3">
      <c r="A24" s="18" t="s">
        <v>52</v>
      </c>
      <c r="B24" s="5">
        <v>10569.646136127627</v>
      </c>
      <c r="C24" s="5">
        <v>2946.4920001597229</v>
      </c>
      <c r="D24" s="5">
        <v>139.40087416142498</v>
      </c>
      <c r="E24" s="5">
        <f t="shared" si="4"/>
        <v>13655.539010448776</v>
      </c>
      <c r="F24" s="5">
        <v>964.05367257484613</v>
      </c>
      <c r="G24" s="5">
        <v>2967.3073169763807</v>
      </c>
      <c r="H24" s="5">
        <f t="shared" si="1"/>
        <v>3931.3609895512268</v>
      </c>
      <c r="I24" s="5">
        <f t="shared" si="2"/>
        <v>17586.900000000001</v>
      </c>
      <c r="J24" s="114"/>
      <c r="K24" s="7">
        <v>19014.849999999999</v>
      </c>
      <c r="L24" s="104">
        <f t="shared" si="3"/>
        <v>-1427.9499999999971</v>
      </c>
    </row>
    <row r="25" spans="1:13" ht="15.75" customHeight="1" x14ac:dyDescent="0.3">
      <c r="A25" s="18" t="s">
        <v>51</v>
      </c>
      <c r="B25" s="5">
        <v>0</v>
      </c>
      <c r="C25" s="5">
        <v>0</v>
      </c>
      <c r="D25" s="5">
        <v>0</v>
      </c>
      <c r="E25" s="5">
        <f t="shared" si="4"/>
        <v>0</v>
      </c>
      <c r="F25" s="5">
        <v>0</v>
      </c>
      <c r="G25" s="5">
        <v>0</v>
      </c>
      <c r="H25" s="5">
        <f t="shared" si="1"/>
        <v>0</v>
      </c>
      <c r="I25" s="5">
        <f t="shared" si="2"/>
        <v>0</v>
      </c>
      <c r="J25" s="114"/>
      <c r="K25" s="7">
        <v>3035.14</v>
      </c>
      <c r="L25" s="104">
        <f t="shared" si="3"/>
        <v>-3035.14</v>
      </c>
    </row>
    <row r="26" spans="1:13" ht="15.75" customHeight="1" x14ac:dyDescent="0.3">
      <c r="A26" s="18" t="s">
        <v>50</v>
      </c>
      <c r="B26" s="5">
        <v>16692.425081274952</v>
      </c>
      <c r="C26" s="5">
        <v>4653.3343057842058</v>
      </c>
      <c r="D26" s="5">
        <v>595.15293778381283</v>
      </c>
      <c r="E26" s="5">
        <f t="shared" si="4"/>
        <v>21940.912324842971</v>
      </c>
      <c r="F26" s="5">
        <v>1522.5101669940409</v>
      </c>
      <c r="G26" s="5">
        <v>4686.2075081629901</v>
      </c>
      <c r="H26" s="5">
        <f t="shared" si="1"/>
        <v>6208.7176751570314</v>
      </c>
      <c r="I26" s="5">
        <f t="shared" si="2"/>
        <v>28149.630000000005</v>
      </c>
      <c r="J26" s="114"/>
      <c r="K26" s="7">
        <v>25671.82</v>
      </c>
      <c r="L26" s="104">
        <f t="shared" si="3"/>
        <v>2477.8100000000049</v>
      </c>
    </row>
    <row r="27" spans="1:13" ht="15.75" customHeight="1" x14ac:dyDescent="0.3">
      <c r="A27" s="18" t="s">
        <v>49</v>
      </c>
      <c r="B27" s="5">
        <v>20211.838822547819</v>
      </c>
      <c r="C27" s="5">
        <v>4887.3441028131165</v>
      </c>
      <c r="D27" s="5">
        <v>83.569979501430154</v>
      </c>
      <c r="E27" s="5">
        <f t="shared" si="4"/>
        <v>25182.752904862366</v>
      </c>
      <c r="F27" s="5">
        <v>17877.944336002252</v>
      </c>
      <c r="G27" s="5">
        <v>22766.882759135384</v>
      </c>
      <c r="H27" s="5">
        <f t="shared" si="1"/>
        <v>40644.827095137633</v>
      </c>
      <c r="I27" s="5">
        <f t="shared" si="2"/>
        <v>65827.58</v>
      </c>
      <c r="J27" s="114"/>
      <c r="K27" s="7">
        <v>60219.38</v>
      </c>
      <c r="L27" s="104">
        <f t="shared" si="3"/>
        <v>5608.2000000000044</v>
      </c>
    </row>
    <row r="28" spans="1:13" ht="15.75" customHeight="1" x14ac:dyDescent="0.3">
      <c r="A28" s="18" t="s">
        <v>48</v>
      </c>
      <c r="B28" s="5">
        <v>192.39509703524573</v>
      </c>
      <c r="C28" s="5">
        <v>1657.4351111638043</v>
      </c>
      <c r="D28" s="5">
        <v>2.3179975800037025</v>
      </c>
      <c r="E28" s="5">
        <f t="shared" si="4"/>
        <v>1852.1482057790538</v>
      </c>
      <c r="F28" s="5">
        <v>428.90056001954798</v>
      </c>
      <c r="G28" s="5">
        <v>9201.5712342013976</v>
      </c>
      <c r="H28" s="5">
        <f t="shared" si="1"/>
        <v>9630.4717942209463</v>
      </c>
      <c r="I28" s="5">
        <f t="shared" si="2"/>
        <v>11482.62</v>
      </c>
      <c r="J28" s="114"/>
      <c r="K28" s="7">
        <v>12782.58</v>
      </c>
      <c r="L28" s="104">
        <f t="shared" si="3"/>
        <v>-1299.9599999999991</v>
      </c>
    </row>
    <row r="29" spans="1:13" ht="15.75" customHeight="1" x14ac:dyDescent="0.3">
      <c r="A29" s="18" t="s">
        <v>47</v>
      </c>
      <c r="B29" s="5">
        <v>27727.265702798428</v>
      </c>
      <c r="C29" s="5">
        <v>7729.5082093949986</v>
      </c>
      <c r="D29" s="5">
        <v>365.68916568216184</v>
      </c>
      <c r="E29" s="5">
        <f t="shared" si="4"/>
        <v>35822.463077875589</v>
      </c>
      <c r="F29" s="5">
        <v>2528.9940634696218</v>
      </c>
      <c r="G29" s="5">
        <v>7784.1128586547929</v>
      </c>
      <c r="H29" s="5">
        <f t="shared" si="1"/>
        <v>10313.106922124414</v>
      </c>
      <c r="I29" s="5">
        <f t="shared" si="2"/>
        <v>46135.570000000007</v>
      </c>
      <c r="J29" s="114"/>
      <c r="K29" s="7">
        <v>45469.4</v>
      </c>
      <c r="L29" s="104">
        <f t="shared" si="3"/>
        <v>666.17000000000553</v>
      </c>
    </row>
    <row r="30" spans="1:13" ht="15.75" customHeight="1" x14ac:dyDescent="0.3">
      <c r="A30" s="1" t="s">
        <v>146</v>
      </c>
      <c r="B30" s="5">
        <v>0</v>
      </c>
      <c r="C30" s="5">
        <v>0</v>
      </c>
      <c r="D30" s="5">
        <v>0</v>
      </c>
      <c r="E30" s="5"/>
      <c r="F30" s="5">
        <v>70</v>
      </c>
      <c r="G30" s="5">
        <v>0</v>
      </c>
      <c r="H30" s="5">
        <f t="shared" si="1"/>
        <v>70</v>
      </c>
      <c r="I30" s="5">
        <f t="shared" si="2"/>
        <v>70</v>
      </c>
      <c r="J30" s="114"/>
      <c r="K30" s="7">
        <v>428.75</v>
      </c>
      <c r="L30" s="104">
        <f t="shared" si="3"/>
        <v>-358.75</v>
      </c>
    </row>
    <row r="31" spans="1:13" ht="15.75" customHeight="1" x14ac:dyDescent="0.3">
      <c r="A31" s="18" t="s">
        <v>46</v>
      </c>
      <c r="B31" s="5">
        <v>8967.5005583048296</v>
      </c>
      <c r="C31" s="5">
        <v>2499.8631284503372</v>
      </c>
      <c r="D31" s="5">
        <v>118.27050790261812</v>
      </c>
      <c r="E31" s="5">
        <f t="shared" si="4"/>
        <v>11585.634194657785</v>
      </c>
      <c r="F31" s="5">
        <v>817.92254307371309</v>
      </c>
      <c r="G31" s="5">
        <v>2517.5232622685025</v>
      </c>
      <c r="H31" s="5">
        <f t="shared" si="1"/>
        <v>3335.4458053422159</v>
      </c>
      <c r="I31" s="5">
        <f t="shared" si="2"/>
        <v>14921.080000000002</v>
      </c>
      <c r="J31" s="114"/>
      <c r="K31" s="7">
        <v>24541.61</v>
      </c>
      <c r="L31" s="104">
        <f t="shared" si="3"/>
        <v>-9620.5299999999988</v>
      </c>
    </row>
    <row r="32" spans="1:13" ht="15.75" customHeight="1" x14ac:dyDescent="0.3">
      <c r="A32" s="18" t="s">
        <v>45</v>
      </c>
      <c r="B32" s="5">
        <v>575.10452556068708</v>
      </c>
      <c r="C32" s="5">
        <v>160.32143952560381</v>
      </c>
      <c r="D32" s="5">
        <v>7.5849344968442853</v>
      </c>
      <c r="E32" s="5">
        <f t="shared" si="4"/>
        <v>743.01089958313526</v>
      </c>
      <c r="F32" s="5">
        <v>52.455079653624097</v>
      </c>
      <c r="G32" s="5">
        <v>3946.3440207632407</v>
      </c>
      <c r="H32" s="5">
        <f t="shared" si="1"/>
        <v>3998.7991004168648</v>
      </c>
      <c r="I32" s="5">
        <f t="shared" si="2"/>
        <v>4741.8100000000004</v>
      </c>
      <c r="J32" s="114"/>
      <c r="K32" s="7">
        <v>6760.1</v>
      </c>
      <c r="L32" s="104">
        <f t="shared" si="3"/>
        <v>-2018.29</v>
      </c>
    </row>
    <row r="33" spans="1:13" ht="15.75" customHeight="1" x14ac:dyDescent="0.3">
      <c r="A33" s="18" t="s">
        <v>44</v>
      </c>
      <c r="B33" s="9">
        <v>1791.9699773528969</v>
      </c>
      <c r="C33" s="9">
        <v>1129.5460713437981</v>
      </c>
      <c r="D33" s="9">
        <v>23.633920955989741</v>
      </c>
      <c r="E33" s="5">
        <f t="shared" si="4"/>
        <v>2945.1499696526848</v>
      </c>
      <c r="F33" s="9">
        <v>337.01494560759664</v>
      </c>
      <c r="G33" s="9">
        <v>23873.245084739716</v>
      </c>
      <c r="H33" s="5">
        <f t="shared" si="1"/>
        <v>24210.260030347312</v>
      </c>
      <c r="I33" s="5">
        <f t="shared" si="2"/>
        <v>27155.409999999996</v>
      </c>
      <c r="J33" s="114"/>
      <c r="K33" s="7">
        <v>33945.56</v>
      </c>
      <c r="L33" s="104">
        <f t="shared" si="3"/>
        <v>-6790.1500000000015</v>
      </c>
    </row>
    <row r="34" spans="1:13" ht="15.75" customHeight="1" x14ac:dyDescent="0.3">
      <c r="A34" s="18" t="s">
        <v>76</v>
      </c>
      <c r="B34" s="7">
        <v>17366.305951374292</v>
      </c>
      <c r="C34" s="7">
        <v>23840.878344040259</v>
      </c>
      <c r="D34" s="7">
        <v>39.782621577207571</v>
      </c>
      <c r="E34" s="5">
        <f t="shared" si="4"/>
        <v>41246.966916991762</v>
      </c>
      <c r="F34" s="7">
        <v>275.12440411062511</v>
      </c>
      <c r="G34" s="7">
        <v>47822.028678897615</v>
      </c>
      <c r="H34" s="5">
        <f t="shared" si="1"/>
        <v>48097.153083008241</v>
      </c>
      <c r="I34" s="5">
        <f t="shared" si="2"/>
        <v>89344.12</v>
      </c>
      <c r="J34" s="114"/>
      <c r="K34" s="7">
        <v>8679.93</v>
      </c>
      <c r="L34" s="104">
        <f t="shared" si="3"/>
        <v>80664.19</v>
      </c>
    </row>
    <row r="35" spans="1:13" ht="15.75" customHeight="1" x14ac:dyDescent="0.3">
      <c r="A35" s="1" t="s">
        <v>138</v>
      </c>
      <c r="B35" s="7">
        <v>0</v>
      </c>
      <c r="C35" s="7">
        <v>0</v>
      </c>
      <c r="D35" s="7">
        <v>0</v>
      </c>
      <c r="E35" s="5"/>
      <c r="F35" s="7">
        <v>0</v>
      </c>
      <c r="G35" s="7">
        <v>750</v>
      </c>
      <c r="H35" s="5">
        <f t="shared" si="1"/>
        <v>750</v>
      </c>
      <c r="I35" s="5">
        <f t="shared" si="2"/>
        <v>750</v>
      </c>
      <c r="J35" s="114"/>
      <c r="K35" s="7">
        <v>32005.66</v>
      </c>
      <c r="L35" s="104">
        <f t="shared" si="3"/>
        <v>-31255.66</v>
      </c>
    </row>
    <row r="36" spans="1:13" ht="18" customHeight="1" x14ac:dyDescent="0.3">
      <c r="A36" s="18" t="s">
        <v>125</v>
      </c>
      <c r="B36" s="119">
        <v>46559.108226540549</v>
      </c>
      <c r="C36" s="119">
        <v>12979.246245071829</v>
      </c>
      <c r="D36" s="119">
        <v>614.058437091065</v>
      </c>
      <c r="E36" s="27">
        <f>SUM(B36:D36)</f>
        <v>60152.412908703445</v>
      </c>
      <c r="F36" s="119">
        <v>4246.6397360442488</v>
      </c>
      <c r="G36" s="119">
        <v>13070.937355252321</v>
      </c>
      <c r="H36" s="27">
        <f t="shared" si="1"/>
        <v>17317.577091296571</v>
      </c>
      <c r="I36" s="27">
        <f t="shared" ref="I36" si="5">E36+H36</f>
        <v>77469.99000000002</v>
      </c>
      <c r="J36" s="120"/>
      <c r="K36" s="119">
        <v>78641.490000000005</v>
      </c>
      <c r="L36" s="121">
        <f t="shared" si="3"/>
        <v>-1171.4999999999854</v>
      </c>
    </row>
    <row r="37" spans="1:13" s="48" customFormat="1" ht="15" x14ac:dyDescent="0.25">
      <c r="A37" s="48" t="s">
        <v>79</v>
      </c>
      <c r="B37" s="122">
        <f t="shared" ref="B37:I37" si="6">SUM(B8:B36)</f>
        <v>1184706.5200000005</v>
      </c>
      <c r="C37" s="122">
        <f t="shared" si="6"/>
        <v>684723</v>
      </c>
      <c r="D37" s="122">
        <f t="shared" si="6"/>
        <v>50654.47</v>
      </c>
      <c r="E37" s="122">
        <f t="shared" si="6"/>
        <v>1920083.9900000007</v>
      </c>
      <c r="F37" s="122">
        <f t="shared" si="6"/>
        <v>140713.50999999998</v>
      </c>
      <c r="G37" s="122">
        <f t="shared" si="6"/>
        <v>689129.4</v>
      </c>
      <c r="H37" s="122">
        <f t="shared" si="6"/>
        <v>829842.90999999992</v>
      </c>
      <c r="I37" s="122">
        <f t="shared" si="6"/>
        <v>2749926.9000000004</v>
      </c>
      <c r="J37" s="123"/>
      <c r="K37" s="124">
        <f>SUM(K8:K36)</f>
        <v>4038604.3200000008</v>
      </c>
      <c r="L37" s="122">
        <f>SUM(L8:L36)</f>
        <v>-1288677.4199999997</v>
      </c>
      <c r="M37" s="93"/>
    </row>
    <row r="38" spans="1:13" s="48" customFormat="1" ht="15" x14ac:dyDescent="0.25">
      <c r="B38" s="49"/>
      <c r="C38" s="49"/>
      <c r="D38" s="49"/>
      <c r="E38" s="49"/>
      <c r="F38" s="49"/>
      <c r="G38" s="49"/>
      <c r="H38" s="49"/>
      <c r="I38" s="49"/>
      <c r="J38" s="116"/>
      <c r="K38" s="62"/>
      <c r="L38" s="49"/>
      <c r="M38" s="93"/>
    </row>
    <row r="39" spans="1:13" s="48" customFormat="1" ht="15" x14ac:dyDescent="0.25">
      <c r="A39" s="48" t="s">
        <v>178</v>
      </c>
      <c r="B39" s="111"/>
      <c r="C39" s="111"/>
      <c r="D39" s="111"/>
      <c r="E39" s="111"/>
      <c r="F39" s="111"/>
      <c r="G39" s="111">
        <v>-314777.08</v>
      </c>
      <c r="H39" s="111"/>
      <c r="I39" s="111"/>
      <c r="J39" s="117"/>
      <c r="K39" s="112"/>
      <c r="L39" s="111"/>
      <c r="M39" s="93"/>
    </row>
    <row r="40" spans="1:13" s="48" customFormat="1" ht="15" x14ac:dyDescent="0.25">
      <c r="B40" s="49"/>
      <c r="C40" s="49"/>
      <c r="D40" s="49"/>
      <c r="E40" s="49"/>
      <c r="F40" s="49"/>
      <c r="G40" s="49"/>
      <c r="H40" s="49"/>
      <c r="I40" s="49"/>
      <c r="J40" s="116"/>
      <c r="K40" s="118"/>
      <c r="L40" s="49"/>
      <c r="M40" s="93"/>
    </row>
    <row r="41" spans="1:13" x14ac:dyDescent="0.3">
      <c r="A41" s="48" t="s">
        <v>179</v>
      </c>
      <c r="B41" s="49">
        <f>B37+B39</f>
        <v>1184706.5200000005</v>
      </c>
      <c r="C41" s="49">
        <f t="shared" ref="C41:G41" si="7">C37+C39</f>
        <v>684723</v>
      </c>
      <c r="D41" s="49">
        <f t="shared" si="7"/>
        <v>50654.47</v>
      </c>
      <c r="E41" s="49">
        <f>SUM(B41:D41)</f>
        <v>1920083.9900000005</v>
      </c>
      <c r="F41" s="49">
        <f t="shared" si="7"/>
        <v>140713.50999999998</v>
      </c>
      <c r="G41" s="49">
        <f t="shared" si="7"/>
        <v>374352.32</v>
      </c>
      <c r="H41" s="49">
        <f>SUM(F41:G41)</f>
        <v>515065.82999999996</v>
      </c>
      <c r="I41" s="49">
        <f>H41+E41</f>
        <v>2435149.8200000003</v>
      </c>
      <c r="J41" s="114"/>
    </row>
    <row r="42" spans="1:13" x14ac:dyDescent="0.3">
      <c r="A42" s="48"/>
      <c r="B42" s="49"/>
      <c r="C42" s="49"/>
      <c r="D42" s="49"/>
      <c r="E42" s="49"/>
      <c r="F42" s="49"/>
      <c r="G42" s="49"/>
      <c r="H42" s="49"/>
      <c r="I42" s="49"/>
      <c r="J42" s="114"/>
    </row>
    <row r="43" spans="1:13" x14ac:dyDescent="0.3">
      <c r="A43" s="48" t="s">
        <v>127</v>
      </c>
      <c r="B43" s="43">
        <f>B41/$I$41</f>
        <v>0.48650251835429181</v>
      </c>
      <c r="C43" s="43">
        <f t="shared" ref="C43:I43" si="8">C41/$I$41</f>
        <v>0.28118311012174185</v>
      </c>
      <c r="D43" s="43">
        <f t="shared" si="8"/>
        <v>2.080137722286015E-2</v>
      </c>
      <c r="E43" s="43">
        <f t="shared" si="8"/>
        <v>0.78848700569889385</v>
      </c>
      <c r="F43" s="43">
        <f t="shared" si="8"/>
        <v>5.7784333778691271E-2</v>
      </c>
      <c r="G43" s="43">
        <f t="shared" si="8"/>
        <v>0.15372866052241499</v>
      </c>
      <c r="H43" s="43">
        <f t="shared" si="8"/>
        <v>0.21151299430110623</v>
      </c>
      <c r="I43" s="43">
        <f t="shared" si="8"/>
        <v>1</v>
      </c>
      <c r="J43" s="114"/>
    </row>
    <row r="45" spans="1:13" x14ac:dyDescent="0.3">
      <c r="G45" s="96"/>
      <c r="H45" s="96"/>
    </row>
  </sheetData>
  <mergeCells count="6">
    <mergeCell ref="B1:I1"/>
    <mergeCell ref="B2:I2"/>
    <mergeCell ref="B3:I3"/>
    <mergeCell ref="B4:I4"/>
    <mergeCell ref="B5:E5"/>
    <mergeCell ref="F5:H5"/>
  </mergeCells>
  <pageMargins left="0.25" right="0" top="0.25" bottom="0.25" header="0.5" footer="0.5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A0E2-CF94-4711-9B20-18128CF255F0}">
  <dimension ref="A1:P44"/>
  <sheetViews>
    <sheetView zoomScale="90" zoomScaleNormal="90" workbookViewId="0">
      <selection activeCell="G41" sqref="G41"/>
    </sheetView>
  </sheetViews>
  <sheetFormatPr defaultRowHeight="16.5" x14ac:dyDescent="0.3"/>
  <cols>
    <col min="1" max="1" width="29" style="1" customWidth="1"/>
    <col min="2" max="2" width="16.28515625" style="1" customWidth="1"/>
    <col min="3" max="6" width="14.5703125" style="1" customWidth="1"/>
    <col min="7" max="7" width="14.42578125" style="1" customWidth="1"/>
    <col min="8" max="8" width="3.5703125" style="1" customWidth="1"/>
    <col min="9" max="9" width="9.140625" style="78"/>
    <col min="10" max="10" width="14.5703125" style="76" bestFit="1" customWidth="1"/>
    <col min="11" max="11" width="9.140625" style="1"/>
    <col min="12" max="12" width="13.140625" style="1" customWidth="1"/>
    <col min="13" max="15" width="9.140625" style="1"/>
    <col min="16" max="16" width="27.5703125" style="76" customWidth="1"/>
    <col min="17" max="16384" width="9.140625" style="1"/>
  </cols>
  <sheetData>
    <row r="1" spans="1:12" ht="19.899999999999999" customHeight="1" x14ac:dyDescent="0.3">
      <c r="A1" s="125" t="s">
        <v>0</v>
      </c>
      <c r="B1" s="125"/>
      <c r="C1" s="125"/>
      <c r="D1" s="125"/>
      <c r="E1" s="125"/>
      <c r="F1" s="125"/>
      <c r="G1" s="125"/>
    </row>
    <row r="2" spans="1:12" ht="19.899999999999999" customHeight="1" x14ac:dyDescent="0.3">
      <c r="A2" s="125" t="s">
        <v>84</v>
      </c>
      <c r="B2" s="125"/>
      <c r="C2" s="125"/>
      <c r="D2" s="125"/>
      <c r="E2" s="125"/>
      <c r="F2" s="125"/>
      <c r="G2" s="125"/>
    </row>
    <row r="3" spans="1:12" ht="21" customHeight="1" x14ac:dyDescent="0.3">
      <c r="A3" s="137">
        <v>45777</v>
      </c>
      <c r="B3" s="137"/>
      <c r="C3" s="137"/>
      <c r="D3" s="137"/>
      <c r="E3" s="137"/>
      <c r="F3" s="137"/>
      <c r="G3" s="137"/>
    </row>
    <row r="4" spans="1:12" ht="50.25" customHeight="1" x14ac:dyDescent="0.3">
      <c r="A4" s="127"/>
      <c r="B4" s="127"/>
      <c r="C4" s="26" t="s">
        <v>159</v>
      </c>
      <c r="D4" s="22" t="s">
        <v>85</v>
      </c>
      <c r="E4" s="22" t="s">
        <v>120</v>
      </c>
      <c r="F4" s="26" t="s">
        <v>180</v>
      </c>
      <c r="G4" s="26" t="s">
        <v>187</v>
      </c>
    </row>
    <row r="5" spans="1:12" ht="15.75" customHeight="1" x14ac:dyDescent="0.3">
      <c r="A5" s="128" t="s">
        <v>86</v>
      </c>
      <c r="B5" s="128"/>
      <c r="C5" s="83">
        <v>791576</v>
      </c>
      <c r="D5" s="83">
        <f>2500000+5000</f>
        <v>2505000</v>
      </c>
      <c r="E5" s="83"/>
      <c r="F5" s="83"/>
      <c r="G5" s="5">
        <f>C5+D5+E5+F5</f>
        <v>3296576</v>
      </c>
      <c r="L5" s="47"/>
    </row>
    <row r="6" spans="1:12" ht="15.75" customHeight="1" x14ac:dyDescent="0.3">
      <c r="A6" s="128" t="s">
        <v>181</v>
      </c>
      <c r="B6" s="128"/>
      <c r="C6" s="83"/>
      <c r="D6" s="83"/>
      <c r="E6" s="83"/>
      <c r="F6" s="83">
        <f>35844+26559+20000</f>
        <v>82403</v>
      </c>
      <c r="G6" s="5">
        <f t="shared" ref="G6:G25" si="0">C6+D6+E6+F6</f>
        <v>82403</v>
      </c>
      <c r="L6" s="47"/>
    </row>
    <row r="7" spans="1:12" ht="15.75" customHeight="1" x14ac:dyDescent="0.3">
      <c r="A7" s="128" t="s">
        <v>87</v>
      </c>
      <c r="B7" s="128"/>
      <c r="C7" s="83">
        <v>6350</v>
      </c>
      <c r="D7" s="83"/>
      <c r="E7" s="83"/>
      <c r="F7" s="83"/>
      <c r="G7" s="5">
        <f t="shared" si="0"/>
        <v>6350</v>
      </c>
      <c r="L7" s="47"/>
    </row>
    <row r="8" spans="1:12" ht="15.75" customHeight="1" x14ac:dyDescent="0.3">
      <c r="A8" s="3"/>
      <c r="B8" s="3"/>
      <c r="C8" s="83"/>
      <c r="D8" s="83"/>
      <c r="E8" s="83"/>
      <c r="F8" s="83"/>
      <c r="G8" s="5">
        <f t="shared" si="0"/>
        <v>0</v>
      </c>
      <c r="L8" s="47"/>
    </row>
    <row r="9" spans="1:12" ht="15.75" customHeight="1" x14ac:dyDescent="0.3">
      <c r="A9" s="10" t="s">
        <v>111</v>
      </c>
      <c r="B9" s="3"/>
      <c r="C9" s="83"/>
      <c r="D9" s="83"/>
      <c r="E9" s="83"/>
      <c r="F9" s="83"/>
      <c r="G9" s="5">
        <f t="shared" si="0"/>
        <v>0</v>
      </c>
      <c r="L9" s="47"/>
    </row>
    <row r="10" spans="1:12" ht="15.75" customHeight="1" x14ac:dyDescent="0.3">
      <c r="A10" s="3" t="s">
        <v>128</v>
      </c>
      <c r="B10" s="3"/>
      <c r="C10" s="83"/>
      <c r="D10" s="7">
        <v>130390</v>
      </c>
      <c r="E10" s="83">
        <f>-12325-34737-64558+880</f>
        <v>-110740</v>
      </c>
      <c r="F10" s="83"/>
      <c r="G10" s="5">
        <f t="shared" si="0"/>
        <v>19650</v>
      </c>
      <c r="L10" s="47"/>
    </row>
    <row r="11" spans="1:12" ht="15.75" customHeight="1" x14ac:dyDescent="0.3">
      <c r="A11" s="128" t="s">
        <v>88</v>
      </c>
      <c r="B11" s="128"/>
      <c r="C11" s="83">
        <v>8000</v>
      </c>
      <c r="D11" s="83">
        <v>447947</v>
      </c>
      <c r="E11" s="83">
        <f>-455780-167</f>
        <v>-455947</v>
      </c>
      <c r="F11" s="83"/>
      <c r="G11" s="5">
        <f t="shared" si="0"/>
        <v>0</v>
      </c>
      <c r="L11" s="47"/>
    </row>
    <row r="12" spans="1:12" ht="15.75" customHeight="1" x14ac:dyDescent="0.3">
      <c r="A12" s="128" t="s">
        <v>89</v>
      </c>
      <c r="B12" s="128"/>
      <c r="C12" s="83">
        <v>1728211</v>
      </c>
      <c r="D12" s="83"/>
      <c r="E12" s="83"/>
      <c r="F12" s="83"/>
      <c r="G12" s="5">
        <f t="shared" si="0"/>
        <v>1728211</v>
      </c>
      <c r="L12" s="47"/>
    </row>
    <row r="13" spans="1:12" ht="15.75" customHeight="1" x14ac:dyDescent="0.3">
      <c r="A13" s="128" t="s">
        <v>90</v>
      </c>
      <c r="B13" s="128"/>
      <c r="C13" s="83">
        <f>22530.53+175</f>
        <v>22705.53</v>
      </c>
      <c r="D13" s="83"/>
      <c r="E13" s="83">
        <v>-872</v>
      </c>
      <c r="F13" s="83"/>
      <c r="G13" s="5">
        <f t="shared" si="0"/>
        <v>21833.53</v>
      </c>
      <c r="L13" s="47"/>
    </row>
    <row r="14" spans="1:12" ht="15.75" customHeight="1" x14ac:dyDescent="0.3">
      <c r="A14" s="128" t="s">
        <v>91</v>
      </c>
      <c r="B14" s="128"/>
      <c r="C14" s="83">
        <v>6723</v>
      </c>
      <c r="D14" s="84"/>
      <c r="E14" s="83"/>
      <c r="F14" s="83"/>
      <c r="G14" s="5">
        <f t="shared" si="0"/>
        <v>6723</v>
      </c>
      <c r="L14" s="47"/>
    </row>
    <row r="15" spans="1:12" ht="15.75" customHeight="1" x14ac:dyDescent="0.3">
      <c r="A15" s="3" t="s">
        <v>130</v>
      </c>
      <c r="B15" s="3"/>
      <c r="C15" s="83">
        <v>0</v>
      </c>
      <c r="D15" s="83">
        <v>255521</v>
      </c>
      <c r="E15" s="83">
        <f>-245221-319</f>
        <v>-245540</v>
      </c>
      <c r="F15" s="83"/>
      <c r="G15" s="5">
        <f t="shared" si="0"/>
        <v>9981</v>
      </c>
      <c r="L15" s="47"/>
    </row>
    <row r="16" spans="1:12" ht="15.75" customHeight="1" x14ac:dyDescent="0.3">
      <c r="A16" s="128" t="s">
        <v>92</v>
      </c>
      <c r="B16" s="128"/>
      <c r="C16" s="83">
        <v>119909</v>
      </c>
      <c r="D16" s="83">
        <v>110500</v>
      </c>
      <c r="E16" s="83"/>
      <c r="F16" s="83"/>
      <c r="G16" s="5">
        <f t="shared" si="0"/>
        <v>230409</v>
      </c>
      <c r="L16" s="47"/>
    </row>
    <row r="17" spans="1:12" ht="15.75" customHeight="1" x14ac:dyDescent="0.3">
      <c r="A17" s="128" t="s">
        <v>93</v>
      </c>
      <c r="B17" s="128"/>
      <c r="C17" s="83">
        <v>0</v>
      </c>
      <c r="D17" s="83">
        <v>90950</v>
      </c>
      <c r="E17" s="83">
        <v>-84228</v>
      </c>
      <c r="F17" s="83"/>
      <c r="G17" s="5">
        <f t="shared" si="0"/>
        <v>6722</v>
      </c>
      <c r="L17" s="47"/>
    </row>
    <row r="18" spans="1:12" ht="15.75" customHeight="1" x14ac:dyDescent="0.3">
      <c r="A18" s="3" t="s">
        <v>126</v>
      </c>
      <c r="B18" s="3"/>
      <c r="C18" s="83">
        <v>0</v>
      </c>
      <c r="D18" s="83">
        <v>25000</v>
      </c>
      <c r="E18" s="83">
        <v>-22989</v>
      </c>
      <c r="F18" s="83"/>
      <c r="G18" s="5">
        <f t="shared" si="0"/>
        <v>2011</v>
      </c>
      <c r="L18" s="47"/>
    </row>
    <row r="19" spans="1:12" ht="15.75" customHeight="1" x14ac:dyDescent="0.3">
      <c r="A19" s="128" t="s">
        <v>94</v>
      </c>
      <c r="B19" s="128"/>
      <c r="C19" s="83">
        <v>42898.33</v>
      </c>
      <c r="D19" s="83"/>
      <c r="E19" s="83"/>
      <c r="F19" s="83"/>
      <c r="G19" s="5">
        <f t="shared" si="0"/>
        <v>42898.33</v>
      </c>
      <c r="L19" s="47"/>
    </row>
    <row r="20" spans="1:12" ht="15.75" customHeight="1" x14ac:dyDescent="0.3">
      <c r="A20" s="128" t="s">
        <v>95</v>
      </c>
      <c r="B20" s="128"/>
      <c r="C20" s="83">
        <v>5529</v>
      </c>
      <c r="D20" s="83"/>
      <c r="E20" s="83"/>
      <c r="F20" s="83"/>
      <c r="G20" s="5">
        <f t="shared" si="0"/>
        <v>5529</v>
      </c>
      <c r="L20" s="47"/>
    </row>
    <row r="21" spans="1:12" ht="15.75" customHeight="1" x14ac:dyDescent="0.3">
      <c r="A21" s="128" t="s">
        <v>96</v>
      </c>
      <c r="B21" s="128"/>
      <c r="C21" s="83">
        <v>11467</v>
      </c>
      <c r="D21" s="83">
        <v>2100</v>
      </c>
      <c r="E21" s="83">
        <v>-1500</v>
      </c>
      <c r="F21" s="83"/>
      <c r="G21" s="5">
        <f t="shared" si="0"/>
        <v>12067</v>
      </c>
      <c r="L21" s="47"/>
    </row>
    <row r="22" spans="1:12" ht="15.75" customHeight="1" x14ac:dyDescent="0.3">
      <c r="A22" s="128" t="s">
        <v>97</v>
      </c>
      <c r="B22" s="128"/>
      <c r="C22" s="83">
        <v>15912</v>
      </c>
      <c r="D22" s="83"/>
      <c r="E22" s="83">
        <v>-14908</v>
      </c>
      <c r="F22" s="83"/>
      <c r="G22" s="5">
        <f t="shared" si="0"/>
        <v>1004</v>
      </c>
      <c r="L22" s="47"/>
    </row>
    <row r="23" spans="1:12" ht="15.75" customHeight="1" x14ac:dyDescent="0.3">
      <c r="A23" s="128" t="s">
        <v>98</v>
      </c>
      <c r="B23" s="128"/>
      <c r="C23" s="83">
        <v>22545</v>
      </c>
      <c r="D23" s="83">
        <v>11500</v>
      </c>
      <c r="E23" s="83">
        <v>-8528</v>
      </c>
      <c r="F23" s="83"/>
      <c r="G23" s="5">
        <f t="shared" si="0"/>
        <v>25517</v>
      </c>
      <c r="L23" s="47"/>
    </row>
    <row r="24" spans="1:12" ht="15.75" customHeight="1" x14ac:dyDescent="0.3">
      <c r="A24" s="128" t="s">
        <v>99</v>
      </c>
      <c r="B24" s="128"/>
      <c r="C24" s="83">
        <v>4000</v>
      </c>
      <c r="D24" s="83"/>
      <c r="E24" s="83">
        <v>-1000</v>
      </c>
      <c r="F24" s="83"/>
      <c r="G24" s="5">
        <f t="shared" si="0"/>
        <v>3000</v>
      </c>
      <c r="L24" s="47"/>
    </row>
    <row r="25" spans="1:12" ht="15.75" customHeight="1" x14ac:dyDescent="0.3">
      <c r="A25" s="3" t="s">
        <v>142</v>
      </c>
      <c r="B25" s="3"/>
      <c r="C25" s="83">
        <v>18344</v>
      </c>
      <c r="D25" s="83">
        <v>44059</v>
      </c>
      <c r="E25" s="83"/>
      <c r="F25" s="83">
        <f>-35844-26559</f>
        <v>-62403</v>
      </c>
      <c r="G25" s="5">
        <f t="shared" si="0"/>
        <v>0</v>
      </c>
      <c r="L25" s="47"/>
    </row>
    <row r="26" spans="1:12" ht="15.75" customHeight="1" x14ac:dyDescent="0.3">
      <c r="A26" s="3"/>
      <c r="B26" s="3"/>
      <c r="C26" s="83"/>
      <c r="D26" s="83"/>
      <c r="E26" s="83"/>
      <c r="F26" s="83"/>
      <c r="G26" s="5"/>
      <c r="L26" s="47"/>
    </row>
    <row r="27" spans="1:12" ht="15.75" customHeight="1" x14ac:dyDescent="0.3">
      <c r="A27" s="10" t="s">
        <v>72</v>
      </c>
      <c r="B27" s="3"/>
      <c r="C27" s="83"/>
      <c r="D27" s="83"/>
      <c r="E27" s="83"/>
      <c r="F27" s="83"/>
      <c r="G27" s="5"/>
      <c r="L27" s="47"/>
    </row>
    <row r="28" spans="1:12" ht="15.75" customHeight="1" x14ac:dyDescent="0.3">
      <c r="A28" s="3" t="s">
        <v>132</v>
      </c>
      <c r="B28" s="3"/>
      <c r="C28" s="83">
        <v>0</v>
      </c>
      <c r="D28" s="83">
        <f>6033+1000000</f>
        <v>1006033</v>
      </c>
      <c r="E28" s="83">
        <v>-1880</v>
      </c>
      <c r="F28" s="83"/>
      <c r="G28" s="5">
        <f t="shared" ref="G28:G39" si="1">C28+D28+E28</f>
        <v>1004153</v>
      </c>
      <c r="L28" s="47"/>
    </row>
    <row r="29" spans="1:12" ht="15.75" customHeight="1" x14ac:dyDescent="0.3">
      <c r="A29" s="128" t="s">
        <v>110</v>
      </c>
      <c r="B29" s="128"/>
      <c r="C29" s="83">
        <v>39214</v>
      </c>
      <c r="D29" s="83">
        <v>13754</v>
      </c>
      <c r="E29" s="83">
        <f>-52905-63</f>
        <v>-52968</v>
      </c>
      <c r="F29" s="83"/>
      <c r="G29" s="5">
        <f t="shared" si="1"/>
        <v>0</v>
      </c>
      <c r="L29" s="47"/>
    </row>
    <row r="30" spans="1:12" ht="15.75" customHeight="1" x14ac:dyDescent="0.3">
      <c r="A30" s="128" t="s">
        <v>100</v>
      </c>
      <c r="B30" s="128"/>
      <c r="C30" s="83">
        <v>27873</v>
      </c>
      <c r="D30" s="83">
        <v>120318</v>
      </c>
      <c r="E30" s="83">
        <v>-138181</v>
      </c>
      <c r="F30" s="83"/>
      <c r="G30" s="5">
        <f t="shared" si="1"/>
        <v>10010</v>
      </c>
      <c r="L30" s="47"/>
    </row>
    <row r="31" spans="1:12" ht="15.75" customHeight="1" x14ac:dyDescent="0.3">
      <c r="A31" s="128" t="s">
        <v>101</v>
      </c>
      <c r="B31" s="128"/>
      <c r="C31" s="83">
        <v>13540</v>
      </c>
      <c r="D31" s="83">
        <v>9713</v>
      </c>
      <c r="E31" s="83">
        <v>-18069</v>
      </c>
      <c r="F31" s="83"/>
      <c r="G31" s="5">
        <f t="shared" si="1"/>
        <v>5184</v>
      </c>
      <c r="L31" s="47"/>
    </row>
    <row r="32" spans="1:12" ht="15.75" customHeight="1" x14ac:dyDescent="0.3">
      <c r="A32" s="128" t="s">
        <v>102</v>
      </c>
      <c r="B32" s="128"/>
      <c r="C32" s="83">
        <v>10608.099999999999</v>
      </c>
      <c r="D32" s="83">
        <v>22835</v>
      </c>
      <c r="E32" s="83">
        <f>-500-17046</f>
        <v>-17546</v>
      </c>
      <c r="F32" s="83"/>
      <c r="G32" s="5">
        <f t="shared" si="1"/>
        <v>15897.099999999999</v>
      </c>
      <c r="L32" s="47"/>
    </row>
    <row r="33" spans="1:16" ht="15.75" customHeight="1" x14ac:dyDescent="0.3">
      <c r="A33" s="128" t="s">
        <v>103</v>
      </c>
      <c r="B33" s="128"/>
      <c r="C33" s="83">
        <v>16075</v>
      </c>
      <c r="D33" s="83"/>
      <c r="E33" s="83">
        <v>-16075</v>
      </c>
      <c r="F33" s="83"/>
      <c r="G33" s="5">
        <f t="shared" si="1"/>
        <v>0</v>
      </c>
      <c r="L33" s="47"/>
    </row>
    <row r="34" spans="1:16" ht="15.75" customHeight="1" x14ac:dyDescent="0.3">
      <c r="A34" s="128" t="s">
        <v>104</v>
      </c>
      <c r="B34" s="128"/>
      <c r="C34" s="83">
        <v>15000</v>
      </c>
      <c r="D34" s="83">
        <v>5000</v>
      </c>
      <c r="E34" s="83"/>
      <c r="F34" s="83">
        <v>-20000</v>
      </c>
      <c r="G34" s="5">
        <f>C34+D34+E34+F34</f>
        <v>0</v>
      </c>
      <c r="L34" s="47"/>
    </row>
    <row r="35" spans="1:16" ht="15.75" customHeight="1" x14ac:dyDescent="0.3">
      <c r="A35" s="128" t="s">
        <v>105</v>
      </c>
      <c r="B35" s="128"/>
      <c r="C35" s="83">
        <v>8275.36</v>
      </c>
      <c r="D35" s="83">
        <v>4500</v>
      </c>
      <c r="E35" s="83">
        <v>-6000</v>
      </c>
      <c r="F35" s="83"/>
      <c r="G35" s="5">
        <f t="shared" si="1"/>
        <v>6775.3600000000006</v>
      </c>
      <c r="L35" s="47"/>
    </row>
    <row r="36" spans="1:16" ht="15.75" customHeight="1" x14ac:dyDescent="0.3">
      <c r="A36" s="128" t="s">
        <v>106</v>
      </c>
      <c r="B36" s="128"/>
      <c r="C36" s="83">
        <v>9051</v>
      </c>
      <c r="D36" s="83">
        <v>4965</v>
      </c>
      <c r="E36" s="83">
        <v>-2952</v>
      </c>
      <c r="F36" s="83"/>
      <c r="G36" s="5">
        <f t="shared" si="1"/>
        <v>11064</v>
      </c>
      <c r="L36" s="47"/>
    </row>
    <row r="37" spans="1:16" ht="15.75" customHeight="1" x14ac:dyDescent="0.3">
      <c r="A37" s="128" t="s">
        <v>107</v>
      </c>
      <c r="B37" s="128"/>
      <c r="C37" s="83">
        <v>0</v>
      </c>
      <c r="D37" s="83">
        <v>162000</v>
      </c>
      <c r="E37" s="83">
        <v>-161203</v>
      </c>
      <c r="F37" s="83"/>
      <c r="G37" s="5">
        <f t="shared" si="1"/>
        <v>797</v>
      </c>
      <c r="L37" s="47"/>
    </row>
    <row r="38" spans="1:16" ht="15.75" customHeight="1" x14ac:dyDescent="0.3">
      <c r="A38" s="128" t="s">
        <v>108</v>
      </c>
      <c r="B38" s="128"/>
      <c r="C38" s="83">
        <v>1127</v>
      </c>
      <c r="D38" s="83"/>
      <c r="E38" s="83"/>
      <c r="F38" s="83"/>
      <c r="G38" s="5">
        <f t="shared" si="1"/>
        <v>1127</v>
      </c>
      <c r="L38" s="47"/>
    </row>
    <row r="39" spans="1:16" ht="15.75" customHeight="1" x14ac:dyDescent="0.3">
      <c r="A39" s="128" t="s">
        <v>109</v>
      </c>
      <c r="B39" s="128"/>
      <c r="C39" s="85">
        <v>20984</v>
      </c>
      <c r="D39" s="85"/>
      <c r="E39" s="85">
        <v>-17394</v>
      </c>
      <c r="F39" s="113"/>
      <c r="G39" s="27">
        <f t="shared" si="1"/>
        <v>3590</v>
      </c>
      <c r="L39" s="47"/>
    </row>
    <row r="40" spans="1:16" s="23" customFormat="1" ht="15.75" customHeight="1" x14ac:dyDescent="0.3">
      <c r="A40" s="125" t="s">
        <v>79</v>
      </c>
      <c r="B40" s="125"/>
      <c r="C40" s="16">
        <f>SUM(C5:C39)</f>
        <v>2965917.32</v>
      </c>
      <c r="D40" s="16">
        <f>SUM(D5:D39)</f>
        <v>4972085</v>
      </c>
      <c r="E40" s="16">
        <f>SUM(E5:E39)</f>
        <v>-1378520</v>
      </c>
      <c r="F40" s="16">
        <f>SUM(F5:F39)</f>
        <v>0</v>
      </c>
      <c r="G40" s="16">
        <f>SUM(G5:G39)+1</f>
        <v>6559483.3200000003</v>
      </c>
      <c r="I40" s="80"/>
      <c r="J40" s="56"/>
      <c r="L40" s="47"/>
      <c r="P40" s="56"/>
    </row>
    <row r="41" spans="1:16" ht="13.35" customHeight="1" x14ac:dyDescent="0.3">
      <c r="G41" s="47"/>
    </row>
    <row r="42" spans="1:16" x14ac:dyDescent="0.3">
      <c r="D42" s="47"/>
      <c r="E42" s="53"/>
      <c r="F42" s="53"/>
      <c r="G42" s="47"/>
    </row>
    <row r="43" spans="1:16" x14ac:dyDescent="0.3">
      <c r="D43" s="47"/>
      <c r="E43" s="47"/>
      <c r="G43" s="53"/>
    </row>
    <row r="44" spans="1:16" x14ac:dyDescent="0.3">
      <c r="C44" s="47"/>
      <c r="D44" s="47"/>
      <c r="E44" s="47"/>
      <c r="F44" s="47"/>
      <c r="G44" s="47"/>
    </row>
  </sheetData>
  <mergeCells count="31">
    <mergeCell ref="A5:B5"/>
    <mergeCell ref="A7:B7"/>
    <mergeCell ref="A11:B11"/>
    <mergeCell ref="A1:G1"/>
    <mergeCell ref="A2:G2"/>
    <mergeCell ref="A3:G3"/>
    <mergeCell ref="A4:B4"/>
    <mergeCell ref="A6:B6"/>
    <mergeCell ref="A24:B24"/>
    <mergeCell ref="A29:B29"/>
    <mergeCell ref="A30:B30"/>
    <mergeCell ref="A31:B31"/>
    <mergeCell ref="A19:B19"/>
    <mergeCell ref="A20:B20"/>
    <mergeCell ref="A21:B21"/>
    <mergeCell ref="A22:B22"/>
    <mergeCell ref="A23:B23"/>
    <mergeCell ref="A12:B12"/>
    <mergeCell ref="A13:B13"/>
    <mergeCell ref="A14:B14"/>
    <mergeCell ref="A16:B16"/>
    <mergeCell ref="A17:B17"/>
    <mergeCell ref="A37:B37"/>
    <mergeCell ref="A38:B38"/>
    <mergeCell ref="A39:B39"/>
    <mergeCell ref="A40:B40"/>
    <mergeCell ref="A32:B32"/>
    <mergeCell ref="A33:B33"/>
    <mergeCell ref="A35:B35"/>
    <mergeCell ref="A36:B36"/>
    <mergeCell ref="A34:B34"/>
  </mergeCells>
  <pageMargins left="0.25" right="0.25" top="0.25" bottom="0.25" header="0.5" footer="0.5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8FC5-4006-4601-BDF4-13A0F687642C}">
  <dimension ref="A1:N75"/>
  <sheetViews>
    <sheetView topLeftCell="A44" zoomScaleNormal="100" workbookViewId="0">
      <selection activeCell="B72" sqref="B72"/>
    </sheetView>
  </sheetViews>
  <sheetFormatPr defaultRowHeight="16.5" x14ac:dyDescent="0.3"/>
  <cols>
    <col min="1" max="1" width="22.140625" style="1" customWidth="1"/>
    <col min="2" max="2" width="35.85546875" style="1" customWidth="1"/>
    <col min="3" max="4" width="14.5703125" style="1" customWidth="1"/>
    <col min="5" max="5" width="13.28515625" style="1" customWidth="1"/>
    <col min="6" max="6" width="1.28515625" style="1" customWidth="1"/>
    <col min="7" max="7" width="15" style="1" customWidth="1"/>
    <col min="8" max="8" width="19.5703125" style="24" customWidth="1"/>
    <col min="9" max="9" width="12.7109375" style="1" bestFit="1" customWidth="1"/>
    <col min="10" max="10" width="10.5703125" style="1" bestFit="1" customWidth="1"/>
    <col min="11" max="12" width="9.140625" style="1"/>
    <col min="13" max="13" width="7.28515625" style="1" customWidth="1"/>
    <col min="14" max="14" width="9.140625" style="1" hidden="1" customWidth="1"/>
    <col min="15" max="16384" width="9.140625" style="1"/>
  </cols>
  <sheetData>
    <row r="1" spans="1:9" ht="19.899999999999999" customHeight="1" x14ac:dyDescent="0.3">
      <c r="A1" s="125" t="s">
        <v>0</v>
      </c>
      <c r="B1" s="125"/>
      <c r="C1" s="125"/>
      <c r="D1" s="125"/>
      <c r="E1" s="125"/>
      <c r="F1" s="10"/>
      <c r="G1" s="10"/>
    </row>
    <row r="2" spans="1:9" ht="19.899999999999999" customHeight="1" x14ac:dyDescent="0.3">
      <c r="A2" s="125" t="s">
        <v>83</v>
      </c>
      <c r="B2" s="125"/>
      <c r="C2" s="125"/>
      <c r="D2" s="125"/>
      <c r="E2" s="125"/>
      <c r="F2" s="10"/>
      <c r="G2" s="10"/>
    </row>
    <row r="3" spans="1:9" ht="16.899999999999999" customHeight="1" x14ac:dyDescent="0.3">
      <c r="A3" s="125" t="s">
        <v>186</v>
      </c>
      <c r="B3" s="125"/>
      <c r="C3" s="125"/>
      <c r="D3" s="125"/>
      <c r="E3" s="125"/>
      <c r="F3" s="10"/>
      <c r="G3" s="10"/>
      <c r="H3" s="50"/>
    </row>
    <row r="4" spans="1:9" ht="15.75" customHeight="1" x14ac:dyDescent="0.3">
      <c r="A4" s="126"/>
      <c r="B4" s="126"/>
      <c r="C4" s="126"/>
      <c r="D4" s="126"/>
      <c r="E4" s="126"/>
      <c r="F4" s="73"/>
      <c r="G4" s="73"/>
    </row>
    <row r="5" spans="1:9" ht="37.5" customHeight="1" x14ac:dyDescent="0.3">
      <c r="A5" s="127"/>
      <c r="B5" s="127"/>
      <c r="C5" s="26" t="s">
        <v>188</v>
      </c>
      <c r="D5" s="26" t="s">
        <v>189</v>
      </c>
      <c r="E5" s="26" t="s">
        <v>151</v>
      </c>
      <c r="F5" s="74"/>
      <c r="G5" s="97" t="s">
        <v>152</v>
      </c>
      <c r="H5" s="50"/>
    </row>
    <row r="6" spans="1:9" ht="15.75" customHeight="1" x14ac:dyDescent="0.3">
      <c r="A6" s="128" t="s">
        <v>41</v>
      </c>
      <c r="B6" s="128"/>
    </row>
    <row r="7" spans="1:9" ht="15.75" customHeight="1" x14ac:dyDescent="0.3">
      <c r="A7" s="128" t="s">
        <v>82</v>
      </c>
      <c r="B7" s="128"/>
      <c r="C7" s="5">
        <f>3590202.34-C52</f>
        <v>1090202.3399999999</v>
      </c>
      <c r="D7" s="5">
        <v>1214655</v>
      </c>
      <c r="E7" s="5">
        <f>C7-D7</f>
        <v>-124452.66000000015</v>
      </c>
      <c r="F7" s="5"/>
      <c r="G7" s="5">
        <v>1446069</v>
      </c>
      <c r="H7" s="50"/>
    </row>
    <row r="8" spans="1:9" ht="15.75" customHeight="1" x14ac:dyDescent="0.3">
      <c r="A8" s="128" t="s">
        <v>81</v>
      </c>
      <c r="B8" s="128"/>
      <c r="C8" s="5">
        <v>9712.81</v>
      </c>
      <c r="D8" s="5">
        <v>12100.46</v>
      </c>
      <c r="E8" s="5">
        <f t="shared" ref="E8:E12" si="0">C8-D8</f>
        <v>-2387.6499999999996</v>
      </c>
      <c r="F8" s="5"/>
      <c r="G8" s="5">
        <v>13380.46</v>
      </c>
      <c r="H8" s="50"/>
    </row>
    <row r="9" spans="1:9" ht="15.75" customHeight="1" x14ac:dyDescent="0.3">
      <c r="A9" s="128" t="s">
        <v>80</v>
      </c>
      <c r="B9" s="128"/>
      <c r="C9" s="5">
        <f>2653459.81-C53</f>
        <v>1653459.81</v>
      </c>
      <c r="D9" s="5">
        <v>1364399.54</v>
      </c>
      <c r="E9" s="5">
        <f t="shared" si="0"/>
        <v>289060.27</v>
      </c>
      <c r="F9" s="5"/>
      <c r="G9" s="5">
        <v>1412899.54</v>
      </c>
      <c r="H9" s="50"/>
    </row>
    <row r="10" spans="1:9" ht="15.75" customHeight="1" x14ac:dyDescent="0.3">
      <c r="A10" s="128" t="s">
        <v>172</v>
      </c>
      <c r="B10" s="128"/>
      <c r="C10" s="5">
        <v>238953.94999999998</v>
      </c>
      <c r="D10" s="5">
        <v>194651</v>
      </c>
      <c r="E10" s="5">
        <f t="shared" si="0"/>
        <v>44302.949999999983</v>
      </c>
      <c r="F10" s="5"/>
      <c r="G10" s="5">
        <v>260651</v>
      </c>
      <c r="H10" s="50"/>
    </row>
    <row r="11" spans="1:9" ht="15.75" customHeight="1" x14ac:dyDescent="0.3">
      <c r="A11" s="3" t="s">
        <v>137</v>
      </c>
      <c r="B11" s="3"/>
      <c r="C11" s="5">
        <f>126148.41-C56</f>
        <v>92888.11</v>
      </c>
      <c r="D11" s="5">
        <v>58000</v>
      </c>
      <c r="E11" s="5">
        <f t="shared" si="0"/>
        <v>34888.11</v>
      </c>
      <c r="F11" s="5"/>
      <c r="G11" s="5">
        <v>58000</v>
      </c>
      <c r="H11" s="50"/>
    </row>
    <row r="12" spans="1:9" ht="15.75" customHeight="1" x14ac:dyDescent="0.3">
      <c r="A12" s="129" t="s">
        <v>148</v>
      </c>
      <c r="B12" s="129"/>
      <c r="C12" s="82">
        <f>133521-C60</f>
        <v>89843</v>
      </c>
      <c r="D12" s="5">
        <v>70000</v>
      </c>
      <c r="E12" s="5">
        <f t="shared" si="0"/>
        <v>19843</v>
      </c>
      <c r="F12" s="5"/>
      <c r="G12" s="5">
        <v>84000</v>
      </c>
      <c r="H12" s="50"/>
    </row>
    <row r="13" spans="1:9" ht="15.75" customHeight="1" x14ac:dyDescent="0.3">
      <c r="A13" s="128" t="s">
        <v>79</v>
      </c>
      <c r="B13" s="128"/>
      <c r="C13" s="8">
        <f>SUM(C7:C12)</f>
        <v>3175060.02</v>
      </c>
      <c r="D13" s="8">
        <f>SUM(D7:D12)</f>
        <v>2913806</v>
      </c>
      <c r="E13" s="8">
        <f>SUM(E7:E12)</f>
        <v>261254.01999999984</v>
      </c>
      <c r="F13" s="9"/>
      <c r="G13" s="46">
        <f>SUM(G7:G12)</f>
        <v>3275000</v>
      </c>
      <c r="H13" s="50"/>
      <c r="I13" s="47"/>
    </row>
    <row r="14" spans="1:9" ht="8.25" customHeight="1" x14ac:dyDescent="0.3">
      <c r="C14" s="7"/>
      <c r="D14" s="7"/>
      <c r="E14" s="7"/>
      <c r="F14" s="7"/>
      <c r="G14" s="7"/>
    </row>
    <row r="15" spans="1:9" ht="15.75" customHeight="1" x14ac:dyDescent="0.3">
      <c r="A15" s="128" t="s">
        <v>34</v>
      </c>
      <c r="B15" s="128"/>
      <c r="C15" s="7"/>
      <c r="D15" s="7"/>
      <c r="E15" s="7"/>
      <c r="F15" s="7"/>
      <c r="G15" s="7"/>
    </row>
    <row r="16" spans="1:9" ht="15.75" customHeight="1" x14ac:dyDescent="0.3">
      <c r="A16" s="128" t="s">
        <v>141</v>
      </c>
      <c r="B16" s="128"/>
      <c r="C16" s="81">
        <v>1442020.05</v>
      </c>
      <c r="D16" s="81">
        <v>1727857.16</v>
      </c>
      <c r="E16" s="5">
        <f>C16-D16</f>
        <v>-285837.10999999987</v>
      </c>
      <c r="F16" s="5"/>
      <c r="G16" s="5">
        <v>2072713</v>
      </c>
      <c r="H16" s="24" t="s">
        <v>133</v>
      </c>
    </row>
    <row r="17" spans="1:13" ht="15.75" customHeight="1" x14ac:dyDescent="0.3">
      <c r="A17" s="128" t="s">
        <v>64</v>
      </c>
      <c r="B17" s="128"/>
      <c r="C17" s="81">
        <f>183453.07-C57</f>
        <v>150192.77000000002</v>
      </c>
      <c r="D17" s="81">
        <v>211594.16</v>
      </c>
      <c r="E17" s="5">
        <f t="shared" ref="E17:E45" si="1">C17-D17</f>
        <v>-61401.389999999985</v>
      </c>
      <c r="F17" s="5"/>
      <c r="G17" s="5">
        <v>239691.5</v>
      </c>
    </row>
    <row r="18" spans="1:13" ht="15.75" customHeight="1" x14ac:dyDescent="0.3">
      <c r="A18" s="128" t="s">
        <v>63</v>
      </c>
      <c r="B18" s="128"/>
      <c r="C18" s="81">
        <v>72528.98</v>
      </c>
      <c r="D18" s="81">
        <v>93847.8</v>
      </c>
      <c r="E18" s="5">
        <f t="shared" si="1"/>
        <v>-21318.820000000007</v>
      </c>
      <c r="F18" s="5"/>
      <c r="G18" s="5">
        <v>101395.8</v>
      </c>
    </row>
    <row r="19" spans="1:13" ht="15.75" customHeight="1" x14ac:dyDescent="0.3">
      <c r="A19" s="128" t="s">
        <v>62</v>
      </c>
      <c r="B19" s="128"/>
      <c r="C19" s="81">
        <v>25963.17</v>
      </c>
      <c r="D19" s="81">
        <v>0</v>
      </c>
      <c r="E19" s="5">
        <f t="shared" si="1"/>
        <v>25963.17</v>
      </c>
      <c r="F19" s="5"/>
      <c r="G19" s="5">
        <v>149700</v>
      </c>
      <c r="H19" s="24" t="s">
        <v>168</v>
      </c>
    </row>
    <row r="20" spans="1:13" ht="15.75" customHeight="1" x14ac:dyDescent="0.3">
      <c r="A20" s="128" t="s">
        <v>61</v>
      </c>
      <c r="B20" s="128"/>
      <c r="C20" s="81">
        <v>292826.15999999997</v>
      </c>
      <c r="D20" s="81">
        <v>168700</v>
      </c>
      <c r="E20" s="5">
        <f t="shared" si="1"/>
        <v>124126.15999999997</v>
      </c>
      <c r="F20" s="5"/>
      <c r="G20" s="5">
        <v>168700</v>
      </c>
      <c r="H20" s="24" t="s">
        <v>167</v>
      </c>
    </row>
    <row r="21" spans="1:13" ht="15.75" customHeight="1" x14ac:dyDescent="0.3">
      <c r="A21" s="3" t="s">
        <v>131</v>
      </c>
      <c r="B21" s="3"/>
      <c r="C21" s="81">
        <v>14211.55</v>
      </c>
      <c r="D21" s="81">
        <v>14750</v>
      </c>
      <c r="E21" s="5">
        <f t="shared" si="1"/>
        <v>-538.45000000000073</v>
      </c>
      <c r="F21" s="5"/>
      <c r="G21" s="5">
        <v>16750</v>
      </c>
    </row>
    <row r="22" spans="1:13" ht="15.75" customHeight="1" x14ac:dyDescent="0.3">
      <c r="A22" s="128" t="s">
        <v>60</v>
      </c>
      <c r="B22" s="128"/>
      <c r="C22" s="81">
        <v>20401.060000000001</v>
      </c>
      <c r="D22" s="81">
        <v>60284.75</v>
      </c>
      <c r="E22" s="5">
        <f t="shared" si="1"/>
        <v>-39883.69</v>
      </c>
      <c r="F22" s="5"/>
      <c r="G22" s="5">
        <v>131423.75</v>
      </c>
    </row>
    <row r="23" spans="1:13" ht="15.75" customHeight="1" x14ac:dyDescent="0.3">
      <c r="A23" s="128" t="s">
        <v>59</v>
      </c>
      <c r="B23" s="128"/>
      <c r="C23" s="81">
        <f>249280.46-4690</f>
        <v>244590.46</v>
      </c>
      <c r="D23" s="81">
        <v>275448.31</v>
      </c>
      <c r="E23" s="5">
        <f t="shared" si="1"/>
        <v>-30857.850000000006</v>
      </c>
      <c r="F23" s="5"/>
      <c r="G23" s="5">
        <v>278819.81</v>
      </c>
    </row>
    <row r="24" spans="1:13" ht="15.75" customHeight="1" x14ac:dyDescent="0.3">
      <c r="A24" s="128" t="s">
        <v>58</v>
      </c>
      <c r="B24" s="128"/>
      <c r="C24" s="81">
        <v>17704.98</v>
      </c>
      <c r="D24" s="81">
        <v>17806</v>
      </c>
      <c r="E24" s="5">
        <f t="shared" si="1"/>
        <v>-101.02000000000044</v>
      </c>
      <c r="F24" s="5"/>
      <c r="G24" s="5">
        <v>24806</v>
      </c>
    </row>
    <row r="25" spans="1:13" ht="15.75" customHeight="1" x14ac:dyDescent="0.3">
      <c r="A25" s="128" t="s">
        <v>78</v>
      </c>
      <c r="B25" s="128"/>
      <c r="C25" s="81">
        <v>0</v>
      </c>
      <c r="D25" s="81">
        <v>1750</v>
      </c>
      <c r="E25" s="5">
        <f t="shared" si="1"/>
        <v>-1750</v>
      </c>
      <c r="F25" s="5"/>
      <c r="G25" s="5">
        <v>2750</v>
      </c>
    </row>
    <row r="26" spans="1:13" ht="15.75" customHeight="1" x14ac:dyDescent="0.3">
      <c r="A26" s="128" t="s">
        <v>57</v>
      </c>
      <c r="B26" s="128"/>
      <c r="C26" s="81">
        <v>8204.98</v>
      </c>
      <c r="D26" s="81">
        <v>7754</v>
      </c>
      <c r="E26" s="5">
        <f t="shared" si="1"/>
        <v>450.97999999999956</v>
      </c>
      <c r="F26" s="5"/>
      <c r="G26" s="5">
        <v>11994</v>
      </c>
      <c r="H26" s="24" t="s">
        <v>156</v>
      </c>
      <c r="M26" s="47"/>
    </row>
    <row r="27" spans="1:13" ht="15.75" customHeight="1" x14ac:dyDescent="0.3">
      <c r="A27" s="128" t="s">
        <v>56</v>
      </c>
      <c r="B27" s="128"/>
      <c r="C27" s="81">
        <v>100</v>
      </c>
      <c r="D27" s="81">
        <v>2017</v>
      </c>
      <c r="E27" s="5">
        <f t="shared" si="1"/>
        <v>-1917</v>
      </c>
      <c r="F27" s="5"/>
      <c r="G27" s="5">
        <v>2629</v>
      </c>
    </row>
    <row r="28" spans="1:13" ht="15.75" customHeight="1" x14ac:dyDescent="0.3">
      <c r="A28" s="128" t="s">
        <v>55</v>
      </c>
      <c r="B28" s="128"/>
      <c r="C28" s="81">
        <v>2139.0500000000002</v>
      </c>
      <c r="D28" s="81">
        <v>802</v>
      </c>
      <c r="E28" s="5">
        <f t="shared" si="1"/>
        <v>1337.0500000000002</v>
      </c>
      <c r="F28" s="5"/>
      <c r="G28" s="5">
        <v>1800</v>
      </c>
    </row>
    <row r="29" spans="1:13" ht="15.75" customHeight="1" x14ac:dyDescent="0.3">
      <c r="A29" s="128" t="s">
        <v>77</v>
      </c>
      <c r="B29" s="128"/>
      <c r="C29" s="81">
        <v>4221.1000000000004</v>
      </c>
      <c r="D29" s="81">
        <v>9552</v>
      </c>
      <c r="E29" s="5">
        <f t="shared" si="1"/>
        <v>-5330.9</v>
      </c>
      <c r="F29" s="5"/>
      <c r="G29" s="5">
        <v>11206</v>
      </c>
    </row>
    <row r="30" spans="1:13" ht="15.75" customHeight="1" x14ac:dyDescent="0.3">
      <c r="A30" s="3" t="s">
        <v>122</v>
      </c>
      <c r="B30" s="3"/>
      <c r="C30" s="81">
        <v>7833.51</v>
      </c>
      <c r="D30" s="81">
        <v>3517.27</v>
      </c>
      <c r="E30" s="5">
        <f t="shared" si="1"/>
        <v>4316.24</v>
      </c>
      <c r="F30" s="5"/>
      <c r="G30" s="5">
        <v>4017.27</v>
      </c>
    </row>
    <row r="31" spans="1:13" ht="15.75" customHeight="1" x14ac:dyDescent="0.3">
      <c r="A31" s="128" t="s">
        <v>54</v>
      </c>
      <c r="B31" s="128"/>
      <c r="C31" s="81">
        <v>4940.3500000000004</v>
      </c>
      <c r="D31" s="81">
        <v>17109</v>
      </c>
      <c r="E31" s="5">
        <f t="shared" si="1"/>
        <v>-12168.65</v>
      </c>
      <c r="F31" s="5"/>
      <c r="G31" s="5">
        <v>21309</v>
      </c>
    </row>
    <row r="32" spans="1:13" ht="15.75" customHeight="1" x14ac:dyDescent="0.3">
      <c r="A32" s="128" t="s">
        <v>53</v>
      </c>
      <c r="B32" s="128"/>
      <c r="C32" s="81">
        <v>20463.72</v>
      </c>
      <c r="D32" s="81">
        <v>15405</v>
      </c>
      <c r="E32" s="5">
        <f t="shared" si="1"/>
        <v>5058.7200000000012</v>
      </c>
      <c r="F32" s="5"/>
      <c r="G32" s="5">
        <v>18405</v>
      </c>
      <c r="H32" s="24" t="s">
        <v>169</v>
      </c>
    </row>
    <row r="33" spans="1:10" ht="15.75" customHeight="1" x14ac:dyDescent="0.3">
      <c r="A33" s="128" t="s">
        <v>52</v>
      </c>
      <c r="B33" s="128"/>
      <c r="C33" s="81">
        <v>17586.900000000001</v>
      </c>
      <c r="D33" s="81">
        <v>22750</v>
      </c>
      <c r="E33" s="5">
        <f t="shared" si="1"/>
        <v>-5163.0999999999985</v>
      </c>
      <c r="F33" s="5"/>
      <c r="G33" s="5">
        <v>27300</v>
      </c>
    </row>
    <row r="34" spans="1:10" ht="15.75" customHeight="1" x14ac:dyDescent="0.3">
      <c r="A34" s="128" t="s">
        <v>51</v>
      </c>
      <c r="B34" s="128"/>
      <c r="C34" s="81">
        <v>0</v>
      </c>
      <c r="D34" s="81">
        <v>2000</v>
      </c>
      <c r="E34" s="5">
        <f t="shared" si="1"/>
        <v>-2000</v>
      </c>
      <c r="F34" s="5"/>
      <c r="G34" s="5">
        <v>2000</v>
      </c>
    </row>
    <row r="35" spans="1:10" ht="15.75" customHeight="1" x14ac:dyDescent="0.3">
      <c r="A35" s="128" t="s">
        <v>50</v>
      </c>
      <c r="B35" s="128"/>
      <c r="C35" s="81">
        <v>28149.63</v>
      </c>
      <c r="D35" s="81">
        <v>28443.32</v>
      </c>
      <c r="E35" s="5">
        <f t="shared" si="1"/>
        <v>-293.68999999999869</v>
      </c>
      <c r="F35" s="5"/>
      <c r="G35" s="5">
        <v>33958</v>
      </c>
    </row>
    <row r="36" spans="1:10" ht="15.75" customHeight="1" x14ac:dyDescent="0.3">
      <c r="A36" s="128" t="s">
        <v>49</v>
      </c>
      <c r="B36" s="128"/>
      <c r="C36" s="81">
        <v>65827.58</v>
      </c>
      <c r="D36" s="81">
        <v>65150</v>
      </c>
      <c r="E36" s="5">
        <f t="shared" si="1"/>
        <v>677.58000000000175</v>
      </c>
      <c r="F36" s="5"/>
      <c r="G36" s="5">
        <v>72033</v>
      </c>
    </row>
    <row r="37" spans="1:10" ht="15.75" customHeight="1" x14ac:dyDescent="0.3">
      <c r="A37" s="128" t="s">
        <v>48</v>
      </c>
      <c r="B37" s="128"/>
      <c r="C37" s="81">
        <v>11482.62</v>
      </c>
      <c r="D37" s="81">
        <v>13163</v>
      </c>
      <c r="E37" s="5">
        <f t="shared" si="1"/>
        <v>-1680.3799999999992</v>
      </c>
      <c r="F37" s="5"/>
      <c r="G37" s="5">
        <v>13807</v>
      </c>
    </row>
    <row r="38" spans="1:10" ht="15.75" customHeight="1" x14ac:dyDescent="0.3">
      <c r="A38" s="128" t="s">
        <v>47</v>
      </c>
      <c r="B38" s="128"/>
      <c r="C38" s="81">
        <v>46135.57</v>
      </c>
      <c r="D38" s="81">
        <v>54470</v>
      </c>
      <c r="E38" s="5">
        <f t="shared" si="1"/>
        <v>-8334.43</v>
      </c>
      <c r="F38" s="5"/>
      <c r="G38" s="5">
        <v>54470</v>
      </c>
    </row>
    <row r="39" spans="1:10" ht="15.75" customHeight="1" x14ac:dyDescent="0.3">
      <c r="A39" s="128" t="s">
        <v>146</v>
      </c>
      <c r="B39" s="128"/>
      <c r="C39" s="81">
        <v>70</v>
      </c>
      <c r="D39" s="81">
        <v>220</v>
      </c>
      <c r="E39" s="5">
        <f t="shared" si="1"/>
        <v>-150</v>
      </c>
      <c r="F39" s="5"/>
      <c r="G39" s="5">
        <v>220</v>
      </c>
    </row>
    <row r="40" spans="1:10" ht="15.75" customHeight="1" x14ac:dyDescent="0.3">
      <c r="A40" s="128" t="s">
        <v>46</v>
      </c>
      <c r="B40" s="128"/>
      <c r="C40" s="81">
        <v>14921.08</v>
      </c>
      <c r="D40" s="81">
        <v>23500</v>
      </c>
      <c r="E40" s="5">
        <f t="shared" si="1"/>
        <v>-8578.92</v>
      </c>
      <c r="F40" s="5"/>
      <c r="G40" s="5">
        <v>28200</v>
      </c>
    </row>
    <row r="41" spans="1:10" ht="15.75" customHeight="1" x14ac:dyDescent="0.3">
      <c r="A41" s="128" t="s">
        <v>45</v>
      </c>
      <c r="B41" s="128"/>
      <c r="C41" s="81">
        <v>4741.8100000000004</v>
      </c>
      <c r="D41" s="81">
        <v>11466</v>
      </c>
      <c r="E41" s="5">
        <f t="shared" si="1"/>
        <v>-6724.19</v>
      </c>
      <c r="F41" s="5"/>
      <c r="G41" s="5">
        <v>13466</v>
      </c>
      <c r="J41" s="47"/>
    </row>
    <row r="42" spans="1:10" ht="15.75" customHeight="1" x14ac:dyDescent="0.3">
      <c r="A42" s="128" t="s">
        <v>44</v>
      </c>
      <c r="B42" s="128"/>
      <c r="C42" s="81">
        <v>27155.41</v>
      </c>
      <c r="D42" s="81">
        <v>38713.870000000003</v>
      </c>
      <c r="E42" s="5">
        <f t="shared" si="1"/>
        <v>-11558.460000000003</v>
      </c>
      <c r="F42" s="5"/>
      <c r="G42" s="5">
        <v>41788.870000000003</v>
      </c>
    </row>
    <row r="43" spans="1:10" ht="15.75" customHeight="1" x14ac:dyDescent="0.3">
      <c r="A43" s="128" t="s">
        <v>76</v>
      </c>
      <c r="B43" s="128"/>
      <c r="C43" s="81">
        <f>89344.12-80000</f>
        <v>9344.1199999999953</v>
      </c>
      <c r="D43" s="81">
        <v>7058</v>
      </c>
      <c r="E43" s="5">
        <f t="shared" si="1"/>
        <v>2286.1199999999953</v>
      </c>
      <c r="F43" s="5"/>
      <c r="G43" s="5">
        <v>8662</v>
      </c>
    </row>
    <row r="44" spans="1:10" ht="15.75" customHeight="1" x14ac:dyDescent="0.3">
      <c r="A44" s="3" t="s">
        <v>138</v>
      </c>
      <c r="B44" s="3"/>
      <c r="C44" s="81">
        <v>750</v>
      </c>
      <c r="D44" s="81">
        <v>18985</v>
      </c>
      <c r="E44" s="5">
        <f t="shared" si="1"/>
        <v>-18235</v>
      </c>
      <c r="F44" s="5"/>
      <c r="G44" s="5">
        <v>18985</v>
      </c>
    </row>
    <row r="45" spans="1:10" ht="15.75" customHeight="1" x14ac:dyDescent="0.3">
      <c r="A45" s="3" t="s">
        <v>125</v>
      </c>
      <c r="B45" s="3"/>
      <c r="C45" s="81">
        <v>77469.990000000005</v>
      </c>
      <c r="D45" s="81">
        <v>78000</v>
      </c>
      <c r="E45" s="5">
        <f t="shared" si="1"/>
        <v>-530.00999999999476</v>
      </c>
      <c r="F45" s="5"/>
      <c r="G45" s="5">
        <v>104000</v>
      </c>
    </row>
    <row r="46" spans="1:10" ht="15.75" customHeight="1" x14ac:dyDescent="0.3">
      <c r="A46" s="128" t="s">
        <v>24</v>
      </c>
      <c r="B46" s="128"/>
      <c r="C46" s="46">
        <f>SUM(C16:C45)</f>
        <v>2631976.6000000006</v>
      </c>
      <c r="D46" s="8">
        <f>SUM(D16:D45)</f>
        <v>2992113.64</v>
      </c>
      <c r="E46" s="8">
        <f>SUM(E16:E45)</f>
        <v>-360137.04000000004</v>
      </c>
      <c r="F46" s="9"/>
      <c r="G46" s="46">
        <f>SUM(G16:G45)</f>
        <v>3677000</v>
      </c>
      <c r="H46" s="50"/>
      <c r="I46" s="47"/>
    </row>
    <row r="47" spans="1:10" ht="15.75" customHeight="1" x14ac:dyDescent="0.3">
      <c r="C47" s="7"/>
      <c r="D47" s="7"/>
      <c r="E47" s="7"/>
      <c r="F47" s="7"/>
      <c r="G47" s="7"/>
      <c r="I47" s="47"/>
    </row>
    <row r="48" spans="1:10" ht="15.75" customHeight="1" thickBot="1" x14ac:dyDescent="0.35">
      <c r="A48" s="125" t="s">
        <v>144</v>
      </c>
      <c r="B48" s="125"/>
      <c r="C48" s="17">
        <f>C13-C46</f>
        <v>543083.41999999946</v>
      </c>
      <c r="D48" s="17">
        <f t="shared" ref="D48:E48" si="2">D13-D46</f>
        <v>-78307.64000000013</v>
      </c>
      <c r="E48" s="17">
        <f t="shared" si="2"/>
        <v>621391.05999999982</v>
      </c>
      <c r="F48" s="75"/>
      <c r="G48" s="109">
        <f>G13-G46</f>
        <v>-402000</v>
      </c>
      <c r="I48" s="47"/>
    </row>
    <row r="49" spans="1:8" ht="15.75" customHeight="1" thickTop="1" thickBot="1" x14ac:dyDescent="0.35"/>
    <row r="50" spans="1:8" s="23" customFormat="1" ht="15" x14ac:dyDescent="0.25">
      <c r="A50" s="65" t="s">
        <v>134</v>
      </c>
      <c r="B50" s="66"/>
      <c r="C50" s="67"/>
      <c r="D50" s="67"/>
      <c r="E50" s="66"/>
      <c r="F50" s="66"/>
      <c r="G50" s="66"/>
      <c r="H50" s="68"/>
    </row>
    <row r="51" spans="1:8" s="23" customFormat="1" ht="15" x14ac:dyDescent="0.25">
      <c r="A51" s="69"/>
      <c r="C51" s="106"/>
      <c r="D51" s="106"/>
      <c r="H51" s="107"/>
    </row>
    <row r="52" spans="1:8" x14ac:dyDescent="0.3">
      <c r="A52" s="108" t="s">
        <v>165</v>
      </c>
      <c r="C52" s="47">
        <v>2500000</v>
      </c>
      <c r="D52" s="47"/>
      <c r="H52" s="70"/>
    </row>
    <row r="53" spans="1:8" x14ac:dyDescent="0.3">
      <c r="A53" s="108" t="s">
        <v>191</v>
      </c>
      <c r="C53" s="47">
        <v>1000000</v>
      </c>
      <c r="D53" s="47"/>
      <c r="H53" s="70"/>
    </row>
    <row r="54" spans="1:8" x14ac:dyDescent="0.3">
      <c r="A54" s="71"/>
      <c r="H54" s="70"/>
    </row>
    <row r="55" spans="1:8" x14ac:dyDescent="0.3">
      <c r="A55" s="69" t="s">
        <v>163</v>
      </c>
      <c r="H55" s="70"/>
    </row>
    <row r="56" spans="1:8" x14ac:dyDescent="0.3">
      <c r="A56" s="71" t="s">
        <v>143</v>
      </c>
      <c r="C56" s="72">
        <v>33260.300000000003</v>
      </c>
      <c r="H56" s="70"/>
    </row>
    <row r="57" spans="1:8" x14ac:dyDescent="0.3">
      <c r="A57" s="71" t="s">
        <v>135</v>
      </c>
      <c r="C57" s="64">
        <v>33260.300000000003</v>
      </c>
      <c r="D57" s="24" t="s">
        <v>139</v>
      </c>
      <c r="H57" s="70"/>
    </row>
    <row r="58" spans="1:8" x14ac:dyDescent="0.3">
      <c r="A58" s="71"/>
      <c r="C58" s="72">
        <f>SUM(C56:C57)</f>
        <v>66520.600000000006</v>
      </c>
      <c r="D58" s="24"/>
      <c r="H58" s="70"/>
    </row>
    <row r="59" spans="1:8" ht="10.5" customHeight="1" x14ac:dyDescent="0.3">
      <c r="A59" s="71"/>
      <c r="C59" s="72"/>
      <c r="D59" s="24"/>
      <c r="H59" s="70"/>
    </row>
    <row r="60" spans="1:8" x14ac:dyDescent="0.3">
      <c r="A60" s="71" t="s">
        <v>177</v>
      </c>
      <c r="C60" s="72">
        <f>'Stmt Activities'!D29</f>
        <v>43678</v>
      </c>
      <c r="D60" s="24"/>
      <c r="H60" s="70"/>
    </row>
    <row r="61" spans="1:8" ht="14.25" customHeight="1" x14ac:dyDescent="0.3">
      <c r="A61" s="71"/>
      <c r="C61" s="47"/>
      <c r="H61" s="70"/>
    </row>
    <row r="62" spans="1:8" x14ac:dyDescent="0.3">
      <c r="A62" s="71" t="s">
        <v>174</v>
      </c>
      <c r="C62" s="47">
        <v>84690</v>
      </c>
      <c r="H62" s="70"/>
    </row>
    <row r="63" spans="1:8" x14ac:dyDescent="0.3">
      <c r="A63" s="71" t="s">
        <v>175</v>
      </c>
      <c r="C63" s="47">
        <f>80000+3940+125+295+55+90+75+110</f>
        <v>84690</v>
      </c>
      <c r="H63" s="70"/>
    </row>
    <row r="64" spans="1:8" x14ac:dyDescent="0.3">
      <c r="A64" s="71"/>
      <c r="C64" s="47"/>
      <c r="H64" s="70"/>
    </row>
    <row r="65" spans="1:8" x14ac:dyDescent="0.3">
      <c r="A65" s="71"/>
      <c r="B65" s="47"/>
      <c r="C65" s="47">
        <f>C13+C52+C56+C60+C62+C53</f>
        <v>6836688.3199999994</v>
      </c>
      <c r="D65" s="1" t="s">
        <v>140</v>
      </c>
      <c r="G65" s="76"/>
      <c r="H65" s="70"/>
    </row>
    <row r="66" spans="1:8" x14ac:dyDescent="0.3">
      <c r="A66" s="71"/>
      <c r="C66" s="77">
        <f>C46+C57+C63</f>
        <v>2749926.9000000004</v>
      </c>
      <c r="D66" s="47" t="s">
        <v>24</v>
      </c>
      <c r="G66" s="76"/>
      <c r="H66" s="70"/>
    </row>
    <row r="67" spans="1:8" x14ac:dyDescent="0.3">
      <c r="A67" s="71"/>
      <c r="C67" s="47">
        <f>C65-C66+1</f>
        <v>4086762.419999999</v>
      </c>
      <c r="D67" s="47"/>
      <c r="G67" s="76"/>
      <c r="H67" s="70"/>
    </row>
    <row r="68" spans="1:8" ht="17.25" thickBot="1" x14ac:dyDescent="0.35">
      <c r="A68" s="98" t="s">
        <v>145</v>
      </c>
      <c r="B68" s="99"/>
      <c r="C68" s="100">
        <f>C67</f>
        <v>4086762.419999999</v>
      </c>
      <c r="D68" s="99"/>
      <c r="E68" s="99"/>
      <c r="F68" s="99"/>
      <c r="G68" s="99"/>
      <c r="H68" s="101"/>
    </row>
    <row r="71" spans="1:8" x14ac:dyDescent="0.3">
      <c r="C71" s="47"/>
    </row>
    <row r="72" spans="1:8" s="23" customFormat="1" x14ac:dyDescent="0.3">
      <c r="A72" s="1"/>
      <c r="B72" s="1"/>
      <c r="C72" s="47"/>
      <c r="D72" s="1"/>
      <c r="E72" s="1"/>
      <c r="F72" s="1"/>
      <c r="G72" s="1"/>
      <c r="H72" s="24"/>
    </row>
    <row r="75" spans="1:8" x14ac:dyDescent="0.3">
      <c r="C75" s="47">
        <f>C66-'Stmt Activities'!F27</f>
        <v>0</v>
      </c>
    </row>
  </sheetData>
  <mergeCells count="41">
    <mergeCell ref="A13:B13"/>
    <mergeCell ref="A15:B15"/>
    <mergeCell ref="A16:B16"/>
    <mergeCell ref="A6:B6"/>
    <mergeCell ref="A7:B7"/>
    <mergeCell ref="A8:B8"/>
    <mergeCell ref="A9:B9"/>
    <mergeCell ref="A10:B10"/>
    <mergeCell ref="A12:B12"/>
    <mergeCell ref="A1:E1"/>
    <mergeCell ref="A2:E2"/>
    <mergeCell ref="A3:E3"/>
    <mergeCell ref="A4:E4"/>
    <mergeCell ref="A5:B5"/>
    <mergeCell ref="A23:B23"/>
    <mergeCell ref="A24:B24"/>
    <mergeCell ref="A25:B25"/>
    <mergeCell ref="A26:B26"/>
    <mergeCell ref="A27:B27"/>
    <mergeCell ref="A17:B17"/>
    <mergeCell ref="A18:B18"/>
    <mergeCell ref="A19:B19"/>
    <mergeCell ref="A20:B20"/>
    <mergeCell ref="A22:B22"/>
    <mergeCell ref="A28:B28"/>
    <mergeCell ref="A29:B29"/>
    <mergeCell ref="A31:B31"/>
    <mergeCell ref="A32:B32"/>
    <mergeCell ref="A33:B33"/>
    <mergeCell ref="A34:B34"/>
    <mergeCell ref="A35:B35"/>
    <mergeCell ref="A36:B36"/>
    <mergeCell ref="A37:B37"/>
    <mergeCell ref="A46:B46"/>
    <mergeCell ref="A39:B39"/>
    <mergeCell ref="A48:B48"/>
    <mergeCell ref="A38:B38"/>
    <mergeCell ref="A40:B40"/>
    <mergeCell ref="A41:B41"/>
    <mergeCell ref="A42:B42"/>
    <mergeCell ref="A43:B43"/>
  </mergeCells>
  <pageMargins left="0.25" right="0" top="0.25" bottom="0.25" header="0.5" footer="0.5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0734-4A9D-482B-806B-C0E96F412708}">
  <dimension ref="A1:G22"/>
  <sheetViews>
    <sheetView workbookViewId="0">
      <selection activeCell="F22" sqref="F22"/>
    </sheetView>
  </sheetViews>
  <sheetFormatPr defaultRowHeight="16.5" x14ac:dyDescent="0.3"/>
  <cols>
    <col min="1" max="1" width="5.28515625" style="30" customWidth="1"/>
    <col min="2" max="2" width="5.5703125" style="30" customWidth="1"/>
    <col min="3" max="3" width="50.28515625" style="30" customWidth="1"/>
    <col min="4" max="4" width="12.5703125" style="30" customWidth="1"/>
    <col min="5" max="5" width="2" style="30" customWidth="1"/>
    <col min="6" max="6" width="9.140625" style="40"/>
    <col min="7" max="7" width="11.5703125" style="30" bestFit="1" customWidth="1"/>
    <col min="8" max="16384" width="9.140625" style="30"/>
  </cols>
  <sheetData>
    <row r="1" spans="1:7" s="28" customFormat="1" ht="17.25" x14ac:dyDescent="0.3">
      <c r="A1" s="28" t="s">
        <v>112</v>
      </c>
      <c r="F1" s="29"/>
    </row>
    <row r="3" spans="1:7" x14ac:dyDescent="0.3">
      <c r="D3" s="31">
        <v>45747</v>
      </c>
      <c r="E3" s="32"/>
      <c r="F3" s="33"/>
    </row>
    <row r="4" spans="1:7" x14ac:dyDescent="0.3">
      <c r="B4" s="30" t="s">
        <v>153</v>
      </c>
      <c r="D4" s="102">
        <v>1152623.51</v>
      </c>
      <c r="E4" s="35"/>
      <c r="F4" s="33"/>
    </row>
    <row r="5" spans="1:7" x14ac:dyDescent="0.3">
      <c r="D5" s="34"/>
      <c r="E5" s="35"/>
      <c r="F5" s="33"/>
    </row>
    <row r="6" spans="1:7" x14ac:dyDescent="0.3">
      <c r="C6" s="30" t="s">
        <v>113</v>
      </c>
      <c r="D6" s="34">
        <v>2587403</v>
      </c>
      <c r="E6" s="35"/>
      <c r="F6" s="33"/>
    </row>
    <row r="7" spans="1:7" x14ac:dyDescent="0.3">
      <c r="C7" s="30" t="s">
        <v>114</v>
      </c>
      <c r="D7" s="34">
        <v>0</v>
      </c>
      <c r="E7" s="35"/>
      <c r="F7" s="33"/>
    </row>
    <row r="8" spans="1:7" x14ac:dyDescent="0.3">
      <c r="C8" s="30" t="s">
        <v>115</v>
      </c>
      <c r="D8" s="34">
        <v>418158.54</v>
      </c>
      <c r="E8" s="35"/>
      <c r="F8" s="33"/>
    </row>
    <row r="9" spans="1:7" x14ac:dyDescent="0.3">
      <c r="C9" s="30" t="s">
        <v>116</v>
      </c>
      <c r="D9" s="34">
        <v>-404933.77</v>
      </c>
      <c r="E9" s="35"/>
      <c r="F9" s="33"/>
    </row>
    <row r="10" spans="1:7" x14ac:dyDescent="0.3">
      <c r="C10" s="30" t="s">
        <v>117</v>
      </c>
      <c r="D10" s="34">
        <v>40689.58</v>
      </c>
      <c r="E10" s="35"/>
      <c r="F10" s="33"/>
    </row>
    <row r="11" spans="1:7" x14ac:dyDescent="0.3">
      <c r="C11" s="30" t="s">
        <v>118</v>
      </c>
      <c r="D11" s="36">
        <v>-10236.58</v>
      </c>
      <c r="E11" s="37"/>
      <c r="F11" s="33"/>
    </row>
    <row r="12" spans="1:7" x14ac:dyDescent="0.3">
      <c r="D12" s="34"/>
      <c r="E12" s="35"/>
      <c r="F12" s="33"/>
    </row>
    <row r="13" spans="1:7" x14ac:dyDescent="0.3">
      <c r="B13" s="30" t="s">
        <v>119</v>
      </c>
      <c r="D13" s="38">
        <f>SUM(D4:D11)</f>
        <v>3783704.28</v>
      </c>
      <c r="E13" s="38">
        <f t="shared" ref="E13" si="0">SUM(E4:E11)</f>
        <v>0</v>
      </c>
      <c r="F13" s="33"/>
      <c r="G13" s="39"/>
    </row>
    <row r="14" spans="1:7" x14ac:dyDescent="0.3">
      <c r="G14" s="41"/>
    </row>
    <row r="15" spans="1:7" s="40" customFormat="1" ht="14.25" x14ac:dyDescent="0.2"/>
    <row r="17" spans="4:7" x14ac:dyDescent="0.3">
      <c r="D17" s="42"/>
      <c r="G17" s="42"/>
    </row>
    <row r="18" spans="4:7" x14ac:dyDescent="0.3">
      <c r="D18" s="41"/>
    </row>
    <row r="21" spans="4:7" x14ac:dyDescent="0.3">
      <c r="G21" s="41"/>
    </row>
    <row r="22" spans="4:7" x14ac:dyDescent="0.3">
      <c r="G22" s="41"/>
    </row>
  </sheetData>
  <pageMargins left="0.7" right="0.7" top="0.75" bottom="0.75" header="0.3" footer="0.3"/>
  <pageSetup orientation="portrait" r:id="rId1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Financial Position</vt:lpstr>
      <vt:lpstr>Stmt Activities</vt:lpstr>
      <vt:lpstr>Functional Exp</vt:lpstr>
      <vt:lpstr>Restricted Detail</vt:lpstr>
      <vt:lpstr>Budget variance</vt:lpstr>
      <vt:lpstr>Endowment</vt:lpstr>
      <vt:lpstr>'Budget variance'!Print_Area</vt:lpstr>
      <vt:lpstr>Endowment!Print_Area</vt:lpstr>
      <vt:lpstr>'Financial Position'!Print_Area</vt:lpstr>
      <vt:lpstr>'Functional Exp'!Print_Area</vt:lpstr>
      <vt:lpstr>'Restricted Detail'!Print_Area</vt:lpstr>
      <vt:lpstr>'Stmt Activities'!Print_Area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2025-05-08T13:54:59Z</cp:lastPrinted>
  <dcterms:created xsi:type="dcterms:W3CDTF">2023-09-08T19:08:44Z</dcterms:created>
  <dcterms:modified xsi:type="dcterms:W3CDTF">2025-05-08T15:55:22Z</dcterms:modified>
</cp:coreProperties>
</file>