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 Restricted\Finance Committee\2024-2025\March 11, 2025\"/>
    </mc:Choice>
  </mc:AlternateContent>
  <xr:revisionPtr revIDLastSave="0" documentId="13_ncr:1_{693D7B90-F03C-4878-8541-9E2C32560B36}" xr6:coauthVersionLast="47" xr6:coauthVersionMax="47" xr10:uidLastSave="{00000000-0000-0000-0000-000000000000}"/>
  <bookViews>
    <workbookView xWindow="-28920" yWindow="-120" windowWidth="29040" windowHeight="15840" activeTab="5" xr2:uid="{00000000-000D-0000-FFFF-FFFF00000000}"/>
  </bookViews>
  <sheets>
    <sheet name="Financial Position" sheetId="1" r:id="rId1"/>
    <sheet name="Stmt Activities" sheetId="2" r:id="rId2"/>
    <sheet name="Functional Exp" sheetId="3" r:id="rId3"/>
    <sheet name="Restricted Detail" sheetId="5" r:id="rId4"/>
    <sheet name="Budget variance" sheetId="4" r:id="rId5"/>
    <sheet name="Endowment" sheetId="7" r:id="rId6"/>
  </sheets>
  <definedNames>
    <definedName name="AS2DocOpenMode" hidden="1">"AS2DocumentEdit"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'Budget variance'!$A$1:$H$69</definedName>
    <definedName name="_xlnm.Print_Area" localSheetId="5">Endowment!$A$1:$D$15</definedName>
    <definedName name="_xlnm.Print_Area" localSheetId="0">'Financial Position'!$A$1:$F$32</definedName>
    <definedName name="_xlnm.Print_Area" localSheetId="2">'Functional Exp'!$A$1:$L$43</definedName>
    <definedName name="_xlnm.Print_Area" localSheetId="3">'Restricted Detail'!$A$1:$G$40</definedName>
    <definedName name="_xlnm.Print_Area" localSheetId="1">'Stmt Activities'!$A$1:$J$36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4" l="1"/>
  <c r="C66" i="4"/>
  <c r="C17" i="4"/>
  <c r="B37" i="3"/>
  <c r="C37" i="3"/>
  <c r="D37" i="3"/>
  <c r="F37" i="3"/>
  <c r="G37" i="3"/>
  <c r="D29" i="2" l="1"/>
  <c r="G40" i="5"/>
  <c r="F40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5" i="5"/>
  <c r="D14" i="2"/>
  <c r="D5" i="5"/>
  <c r="E9" i="2" l="1"/>
  <c r="D9" i="2"/>
  <c r="H13" i="2"/>
  <c r="F12" i="2"/>
  <c r="D37" i="4"/>
  <c r="D10" i="4" l="1"/>
  <c r="D9" i="4"/>
  <c r="C63" i="4" l="1"/>
  <c r="C43" i="4" s="1"/>
  <c r="C11" i="4"/>
  <c r="C7" i="4"/>
  <c r="C13" i="5"/>
  <c r="E11" i="5"/>
  <c r="E29" i="5"/>
  <c r="F24" i="1"/>
  <c r="D8" i="1"/>
  <c r="D12" i="1"/>
  <c r="C13" i="4" l="1"/>
  <c r="C46" i="4"/>
  <c r="D46" i="4"/>
  <c r="F20" i="1"/>
  <c r="E10" i="5" l="1"/>
  <c r="C40" i="5"/>
  <c r="F14" i="1" l="1"/>
  <c r="H15" i="2"/>
  <c r="H33" i="2" s="1"/>
  <c r="D14" i="1" l="1"/>
  <c r="F31" i="2" l="1"/>
  <c r="F29" i="2"/>
  <c r="D20" i="1"/>
  <c r="E12" i="4" l="1"/>
  <c r="F25" i="1" l="1"/>
  <c r="G46" i="4" l="1"/>
  <c r="G13" i="4"/>
  <c r="G48" i="4" l="1"/>
  <c r="K37" i="3"/>
  <c r="G35" i="5" l="1"/>
  <c r="G34" i="5"/>
  <c r="G30" i="5"/>
  <c r="G29" i="5"/>
  <c r="G28" i="5"/>
  <c r="G31" i="5"/>
  <c r="G32" i="5"/>
  <c r="G33" i="5"/>
  <c r="G36" i="5"/>
  <c r="G37" i="5"/>
  <c r="G38" i="5"/>
  <c r="G39" i="5"/>
  <c r="E11" i="4" l="1"/>
  <c r="E8" i="4"/>
  <c r="E9" i="4"/>
  <c r="E10" i="4"/>
  <c r="D13" i="4"/>
  <c r="E17" i="4" l="1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I30" i="3" s="1"/>
  <c r="L30" i="3" s="1"/>
  <c r="H31" i="3"/>
  <c r="H32" i="3"/>
  <c r="H33" i="3"/>
  <c r="H34" i="3"/>
  <c r="H35" i="3"/>
  <c r="I35" i="3" s="1"/>
  <c r="L35" i="3" s="1"/>
  <c r="H36" i="3"/>
  <c r="D40" i="5" l="1"/>
  <c r="E40" i="5"/>
  <c r="C58" i="4" l="1"/>
  <c r="C67" i="4" l="1"/>
  <c r="C69" i="4" s="1"/>
  <c r="F8" i="2"/>
  <c r="F9" i="2"/>
  <c r="F10" i="2"/>
  <c r="F11" i="2"/>
  <c r="F13" i="2"/>
  <c r="H26" i="2" l="1"/>
  <c r="H22" i="2"/>
  <c r="H27" i="2" l="1"/>
  <c r="H35" i="2" l="1"/>
  <c r="E9" i="3" l="1"/>
  <c r="I9" i="3" s="1"/>
  <c r="L9" i="3" s="1"/>
  <c r="E10" i="3"/>
  <c r="I10" i="3" s="1"/>
  <c r="L10" i="3" s="1"/>
  <c r="E11" i="3"/>
  <c r="I11" i="3" s="1"/>
  <c r="L11" i="3" s="1"/>
  <c r="E12" i="3"/>
  <c r="I12" i="3" s="1"/>
  <c r="L12" i="3" s="1"/>
  <c r="E13" i="3"/>
  <c r="I13" i="3" s="1"/>
  <c r="L13" i="3" s="1"/>
  <c r="E36" i="3" l="1"/>
  <c r="E14" i="3"/>
  <c r="I14" i="3" s="1"/>
  <c r="L14" i="3" s="1"/>
  <c r="E15" i="3"/>
  <c r="I15" i="3" s="1"/>
  <c r="L15" i="3" s="1"/>
  <c r="E16" i="3"/>
  <c r="I16" i="3" s="1"/>
  <c r="L16" i="3" s="1"/>
  <c r="E17" i="3"/>
  <c r="I17" i="3" s="1"/>
  <c r="L17" i="3" s="1"/>
  <c r="E18" i="3"/>
  <c r="I18" i="3" s="1"/>
  <c r="L18" i="3" s="1"/>
  <c r="E19" i="3"/>
  <c r="I19" i="3" s="1"/>
  <c r="L19" i="3" s="1"/>
  <c r="E20" i="3"/>
  <c r="I20" i="3" s="1"/>
  <c r="L20" i="3" s="1"/>
  <c r="E21" i="3"/>
  <c r="I21" i="3" s="1"/>
  <c r="L21" i="3" s="1"/>
  <c r="E22" i="3"/>
  <c r="I22" i="3" s="1"/>
  <c r="L22" i="3" s="1"/>
  <c r="E23" i="3"/>
  <c r="I23" i="3" s="1"/>
  <c r="L23" i="3" s="1"/>
  <c r="E24" i="3"/>
  <c r="I24" i="3" s="1"/>
  <c r="L24" i="3" s="1"/>
  <c r="E25" i="3"/>
  <c r="I25" i="3" s="1"/>
  <c r="L25" i="3" s="1"/>
  <c r="E26" i="3"/>
  <c r="I26" i="3" s="1"/>
  <c r="L26" i="3" s="1"/>
  <c r="E27" i="3"/>
  <c r="I27" i="3" s="1"/>
  <c r="L27" i="3" s="1"/>
  <c r="E28" i="3"/>
  <c r="I28" i="3" s="1"/>
  <c r="L28" i="3" s="1"/>
  <c r="E29" i="3"/>
  <c r="I29" i="3" s="1"/>
  <c r="L29" i="3" s="1"/>
  <c r="E31" i="3"/>
  <c r="I31" i="3" s="1"/>
  <c r="L31" i="3" s="1"/>
  <c r="E32" i="3"/>
  <c r="I32" i="3" s="1"/>
  <c r="L32" i="3" s="1"/>
  <c r="E33" i="3"/>
  <c r="I33" i="3" s="1"/>
  <c r="L33" i="3" s="1"/>
  <c r="E34" i="3"/>
  <c r="I34" i="3" s="1"/>
  <c r="L34" i="3" s="1"/>
  <c r="I36" i="3" l="1"/>
  <c r="L36" i="3" s="1"/>
  <c r="D25" i="2" l="1"/>
  <c r="F25" i="2" s="1"/>
  <c r="G41" i="3"/>
  <c r="D20" i="2"/>
  <c r="F20" i="2" s="1"/>
  <c r="C41" i="3"/>
  <c r="D19" i="2"/>
  <c r="F19" i="2" s="1"/>
  <c r="B41" i="3"/>
  <c r="D24" i="2"/>
  <c r="F24" i="2" s="1"/>
  <c r="F41" i="3"/>
  <c r="D21" i="2"/>
  <c r="F21" i="2" s="1"/>
  <c r="D41" i="3"/>
  <c r="F7" i="2"/>
  <c r="E41" i="3" l="1"/>
  <c r="H41" i="3"/>
  <c r="D26" i="2"/>
  <c r="F26" i="2" s="1"/>
  <c r="D22" i="2"/>
  <c r="F22" i="2" s="1"/>
  <c r="I41" i="3" l="1"/>
  <c r="D27" i="2"/>
  <c r="H8" i="3"/>
  <c r="E8" i="3"/>
  <c r="E37" i="3" s="1"/>
  <c r="I43" i="3" l="1"/>
  <c r="B43" i="3"/>
  <c r="D43" i="3"/>
  <c r="F43" i="3"/>
  <c r="C43" i="3"/>
  <c r="G43" i="3"/>
  <c r="E43" i="3"/>
  <c r="H43" i="3"/>
  <c r="F27" i="2"/>
  <c r="C76" i="4" s="1"/>
  <c r="H37" i="3"/>
  <c r="I8" i="3"/>
  <c r="E13" i="7"/>
  <c r="D13" i="7"/>
  <c r="E16" i="4"/>
  <c r="E46" i="4" s="1"/>
  <c r="D48" i="4"/>
  <c r="F27" i="1"/>
  <c r="F30" i="1" s="1"/>
  <c r="D25" i="1"/>
  <c r="L8" i="3" l="1"/>
  <c r="L37" i="3" s="1"/>
  <c r="I37" i="3"/>
  <c r="E7" i="4"/>
  <c r="E13" i="4" s="1"/>
  <c r="E48" i="4" s="1"/>
  <c r="F32" i="1"/>
  <c r="E15" i="2" l="1"/>
  <c r="E33" i="2" s="1"/>
  <c r="E35" i="2" l="1"/>
  <c r="D29" i="1" s="1"/>
  <c r="F14" i="2"/>
  <c r="D15" i="2"/>
  <c r="D33" i="2" s="1"/>
  <c r="F15" i="2" l="1"/>
  <c r="D35" i="2"/>
  <c r="D24" i="1" s="1"/>
  <c r="F33" i="2" l="1"/>
  <c r="D27" i="1"/>
  <c r="D30" i="1" s="1"/>
  <c r="D32" i="1" s="1"/>
  <c r="C48" i="4"/>
  <c r="F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Viviano</author>
  </authors>
  <commentList>
    <comment ref="H20" authorId="0" shapeId="0" xr:uid="{6C6A68D6-2F52-44CB-BF9B-21ED330B15FF}">
      <text>
        <r>
          <rPr>
            <b/>
            <sz val="9"/>
            <color indexed="81"/>
            <rFont val="Tahoma"/>
            <family val="2"/>
          </rPr>
          <t>Stephanie Viviano:</t>
        </r>
        <r>
          <rPr>
            <sz val="9"/>
            <color indexed="81"/>
            <rFont val="Tahoma"/>
            <family val="2"/>
          </rPr>
          <t xml:space="preserve">
WINGS $236k
Disaster $250k</t>
        </r>
      </text>
    </comment>
  </commentList>
</comments>
</file>

<file path=xl/sharedStrings.xml><?xml version="1.0" encoding="utf-8"?>
<sst xmlns="http://schemas.openxmlformats.org/spreadsheetml/2006/main" count="232" uniqueCount="192">
  <si>
    <t>The Education Foundation of Collier County Inc.</t>
  </si>
  <si>
    <t>Statement of Financial Position</t>
  </si>
  <si>
    <t>Assets</t>
  </si>
  <si>
    <t xml:space="preserve">               Prepaid Scholarships</t>
  </si>
  <si>
    <t xml:space="preserve">               Other Prepaid Expenses</t>
  </si>
  <si>
    <t xml:space="preserve">               Endowment Fund (held at CCF)</t>
  </si>
  <si>
    <t xml:space="preserve">               Property and Equipment, net</t>
  </si>
  <si>
    <t>Total Assets</t>
  </si>
  <si>
    <t>Liabilities &amp; Net Assets</t>
  </si>
  <si>
    <t xml:space="preserve">     Liabilities</t>
  </si>
  <si>
    <t xml:space="preserve">     Total Liabilities</t>
  </si>
  <si>
    <t xml:space="preserve">     Net Assets</t>
  </si>
  <si>
    <t xml:space="preserve">          Without Donor Restrictions</t>
  </si>
  <si>
    <t xml:space="preserve">               Undesignated</t>
  </si>
  <si>
    <t xml:space="preserve">               Designated</t>
  </si>
  <si>
    <t xml:space="preserve">          Total Without Donor Restrictions</t>
  </si>
  <si>
    <t xml:space="preserve">          With Donor Restrictions</t>
  </si>
  <si>
    <t xml:space="preserve">     Total Net Assets</t>
  </si>
  <si>
    <t>Total Liabilities &amp; Net Assets</t>
  </si>
  <si>
    <t xml:space="preserve">               Investments at Schwab (Board Designated)</t>
  </si>
  <si>
    <t xml:space="preserve">               Investment in Property and Equipment</t>
  </si>
  <si>
    <t>ENDING FUND BALANCE</t>
  </si>
  <si>
    <t>NET SURPLUS/(DEFICIT)</t>
  </si>
  <si>
    <t>BEGINNING FUND BALANCE</t>
  </si>
  <si>
    <t>Total Expenses</t>
  </si>
  <si>
    <t xml:space="preserve">     Total Supporting Services</t>
  </si>
  <si>
    <t xml:space="preserve">          Fundraising</t>
  </si>
  <si>
    <t xml:space="preserve">          General &amp; Administration</t>
  </si>
  <si>
    <t xml:space="preserve">     Supporting Services</t>
  </si>
  <si>
    <t xml:space="preserve">     Total Program Expenses</t>
  </si>
  <si>
    <t xml:space="preserve">          Future Ready Collier</t>
  </si>
  <si>
    <t xml:space="preserve">          Educators &amp; Teachers</t>
  </si>
  <si>
    <t xml:space="preserve">          Students &amp; Families</t>
  </si>
  <si>
    <t xml:space="preserve">     Program Expenses</t>
  </si>
  <si>
    <t>Expenses</t>
  </si>
  <si>
    <t>Total Income</t>
  </si>
  <si>
    <t xml:space="preserve">          Released from Restriction</t>
  </si>
  <si>
    <t xml:space="preserve">          Corporate Revenue</t>
  </si>
  <si>
    <t xml:space="preserve">          Individual Contributions / Family Foundations</t>
  </si>
  <si>
    <t xml:space="preserve">          Governmental Grants</t>
  </si>
  <si>
    <t xml:space="preserve">          Foundation Revenue &amp; Grants</t>
  </si>
  <si>
    <t>Income</t>
  </si>
  <si>
    <t>Statement of Activities</t>
  </si>
  <si>
    <t>Restricted</t>
  </si>
  <si>
    <t xml:space="preserve">     Printing and Copying</t>
  </si>
  <si>
    <t xml:space="preserve">     Postage and Shipping</t>
  </si>
  <si>
    <t xml:space="preserve">     Payroll Processing Fees</t>
  </si>
  <si>
    <t xml:space="preserve">     Insurance</t>
  </si>
  <si>
    <t xml:space="preserve">     Financial Service Fees</t>
  </si>
  <si>
    <t xml:space="preserve">     Software Licenses</t>
  </si>
  <si>
    <t xml:space="preserve">     Telecommunications &amp; Website</t>
  </si>
  <si>
    <t xml:space="preserve">     Equipment - Expendable</t>
  </si>
  <si>
    <t xml:space="preserve">     Equipment Leases</t>
  </si>
  <si>
    <t xml:space="preserve">     Office Supplies</t>
  </si>
  <si>
    <t xml:space="preserve">     Conferences, Conventions and Meetings</t>
  </si>
  <si>
    <t xml:space="preserve">     Marketing and Direct Donor Expense</t>
  </si>
  <si>
    <t xml:space="preserve">     Outreach and Education</t>
  </si>
  <si>
    <t xml:space="preserve">     Volunteer and Intern Expense</t>
  </si>
  <si>
    <t xml:space="preserve">     Transportation</t>
  </si>
  <si>
    <t xml:space="preserve">     Meals and Entertainment</t>
  </si>
  <si>
    <t xml:space="preserve">     General Program Materials</t>
  </si>
  <si>
    <t xml:space="preserve">     Grants to Third Parties</t>
  </si>
  <si>
    <t xml:space="preserve">     Scholarships</t>
  </si>
  <si>
    <t xml:space="preserve">     Occupancy</t>
  </si>
  <si>
    <t xml:space="preserve">     Professional Services</t>
  </si>
  <si>
    <t xml:space="preserve">     Personnel Expenses</t>
  </si>
  <si>
    <t>Totals</t>
  </si>
  <si>
    <t>Total Supporting Services</t>
  </si>
  <si>
    <t>Fundraising</t>
  </si>
  <si>
    <t>Administration</t>
  </si>
  <si>
    <t>Total Program Services</t>
  </si>
  <si>
    <t>Future Ready Collier</t>
  </si>
  <si>
    <t>Educators &amp; Teachers</t>
  </si>
  <si>
    <t>Student  &amp; Families</t>
  </si>
  <si>
    <t>Supporting Services</t>
  </si>
  <si>
    <t>Program Services</t>
  </si>
  <si>
    <t xml:space="preserve">     Advertising</t>
  </si>
  <si>
    <t xml:space="preserve">     Dues, Publications and Subscriptions</t>
  </si>
  <si>
    <t xml:space="preserve">     School Services</t>
  </si>
  <si>
    <t>Total</t>
  </si>
  <si>
    <t xml:space="preserve">     Individual Contributions / Family Foundations</t>
  </si>
  <si>
    <t xml:space="preserve">     Governmental Grants</t>
  </si>
  <si>
    <t xml:space="preserve">     Foundation Revenue and Grants</t>
  </si>
  <si>
    <t>Budget Variance Report</t>
  </si>
  <si>
    <t>Net Assets with Restrictions</t>
  </si>
  <si>
    <t>Revenue</t>
  </si>
  <si>
    <t xml:space="preserve">Endowment  </t>
  </si>
  <si>
    <t>Capital - Building</t>
  </si>
  <si>
    <t xml:space="preserve">College &amp; Career Prep  </t>
  </si>
  <si>
    <t>Pre-Paid Scholarships</t>
  </si>
  <si>
    <t xml:space="preserve">College &amp; Career Preparation - Scholarships - Other  </t>
  </si>
  <si>
    <t xml:space="preserve">Endowment Release - Scholarship  </t>
  </si>
  <si>
    <t xml:space="preserve">Take Stock in Children - Scholarships  </t>
  </si>
  <si>
    <t xml:space="preserve">Entrepreneurship Program  </t>
  </si>
  <si>
    <t xml:space="preserve">Jump Start Scholarships  </t>
  </si>
  <si>
    <t xml:space="preserve">Forum Club  </t>
  </si>
  <si>
    <t xml:space="preserve">Press Club  </t>
  </si>
  <si>
    <t xml:space="preserve">Consortium Scholarship  </t>
  </si>
  <si>
    <t xml:space="preserve">Suncoast Scholarship  </t>
  </si>
  <si>
    <t xml:space="preserve">Carlin Student Scholarship  </t>
  </si>
  <si>
    <t xml:space="preserve">Teacher &amp; School Grants  </t>
  </si>
  <si>
    <t xml:space="preserve">License For Learning Grants  </t>
  </si>
  <si>
    <t xml:space="preserve">LJ MacCarthy Music Fund  </t>
  </si>
  <si>
    <t xml:space="preserve">Lal Gaynor Early Education &amp; Beyond  </t>
  </si>
  <si>
    <t xml:space="preserve">Principal Fellowship  </t>
  </si>
  <si>
    <t xml:space="preserve">Educator Grants - Other  </t>
  </si>
  <si>
    <t xml:space="preserve">Pi Beta Phi  </t>
  </si>
  <si>
    <t xml:space="preserve">Golden Apple Society  </t>
  </si>
  <si>
    <t xml:space="preserve">Golden Apple Teacher Grants  </t>
  </si>
  <si>
    <t xml:space="preserve">Future Ready Collier  </t>
  </si>
  <si>
    <t xml:space="preserve">Disaster Relief  </t>
  </si>
  <si>
    <t>Student and Families</t>
  </si>
  <si>
    <t>Endowment Fund</t>
  </si>
  <si>
    <t>Contributions</t>
  </si>
  <si>
    <t>Withdrawls</t>
  </si>
  <si>
    <t>Realized gains (losses)</t>
  </si>
  <si>
    <t>Unrealized gains (losses)</t>
  </si>
  <si>
    <t>Interest and dividends</t>
  </si>
  <si>
    <t>Administrative fees</t>
  </si>
  <si>
    <t>Endowment fund, ending balance</t>
  </si>
  <si>
    <t xml:space="preserve">Released </t>
  </si>
  <si>
    <t>Unrestricted</t>
  </si>
  <si>
    <t xml:space="preserve">     Travel</t>
  </si>
  <si>
    <t>The Education Foundation of Collier County, Inc</t>
  </si>
  <si>
    <t>Statement of Functional Expenses</t>
  </si>
  <si>
    <t xml:space="preserve">     Depreciation</t>
  </si>
  <si>
    <t>Technical Pathaways</t>
  </si>
  <si>
    <t>Program Percentage of Expenses</t>
  </si>
  <si>
    <t>General Student Programs</t>
  </si>
  <si>
    <t xml:space="preserve">     Awards and Recognition to Individuals</t>
  </si>
  <si>
    <t>Take Stock in Children Program</t>
  </si>
  <si>
    <t xml:space="preserve">     Awards and Recognition</t>
  </si>
  <si>
    <t>General Educator Programs</t>
  </si>
  <si>
    <t xml:space="preserve">Staff positions not hired. </t>
  </si>
  <si>
    <t>Below the Line Items</t>
  </si>
  <si>
    <t xml:space="preserve">   Expenses </t>
  </si>
  <si>
    <t xml:space="preserve">  Program Service Revenue (Contracted Services)</t>
  </si>
  <si>
    <t xml:space="preserve">     Program Service Revenue (Contracted Services)</t>
  </si>
  <si>
    <t xml:space="preserve">     Auction Expense</t>
  </si>
  <si>
    <t>Professional Contracts</t>
  </si>
  <si>
    <t>Total Revenue</t>
  </si>
  <si>
    <t xml:space="preserve">     Personnel Expenses (including Accrued Vacation)</t>
  </si>
  <si>
    <t>Sue Filip Fund</t>
  </si>
  <si>
    <t xml:space="preserve">   Income (not budget relieving)</t>
  </si>
  <si>
    <t>OPERATING NET SURPLUS/(DEFICIT)</t>
  </si>
  <si>
    <t>TOTAL NET SURPLUS (DEFICIT)</t>
  </si>
  <si>
    <t xml:space="preserve">     State Registration and Licensing Fees</t>
  </si>
  <si>
    <t xml:space="preserve">          Investment Revenue</t>
  </si>
  <si>
    <t xml:space="preserve">     Investment Income</t>
  </si>
  <si>
    <t>Prior Year -YTD 2024</t>
  </si>
  <si>
    <t>PYTD 2024 Totals</t>
  </si>
  <si>
    <t>Variance</t>
  </si>
  <si>
    <t>Total FY Budget</t>
  </si>
  <si>
    <t>Endowment fund, beginning balance, July 1, 2024</t>
  </si>
  <si>
    <t>More school tours FY25</t>
  </si>
  <si>
    <t>BE Leadership FY24</t>
  </si>
  <si>
    <t>vol gifts</t>
  </si>
  <si>
    <t>less staff FY25 (5 less FTE)</t>
  </si>
  <si>
    <t xml:space="preserve">               Cash and Cash Equivalents (Everbank)</t>
  </si>
  <si>
    <t xml:space="preserve">               Cash and Cash Equivalents (Schwab)</t>
  </si>
  <si>
    <t>Beginning Balance  07/1/2024</t>
  </si>
  <si>
    <t>RTC program contracted services</t>
  </si>
  <si>
    <t>Hurricane Relief supplies</t>
  </si>
  <si>
    <t>Hurricane relief / Publix grants to teachers FY24</t>
  </si>
  <si>
    <t>Resiliency through October 31, 2024</t>
  </si>
  <si>
    <t xml:space="preserve">               Accounts Payable</t>
  </si>
  <si>
    <t>Schoen Foundation - Endowment gift</t>
  </si>
  <si>
    <t>Change in Value of Split-Interest Agreement</t>
  </si>
  <si>
    <t>$2.5 Mil Schoen gift</t>
  </si>
  <si>
    <t>able to grant more than budgeted</t>
  </si>
  <si>
    <t>pass through grants not budgeted</t>
  </si>
  <si>
    <t>computers paid with grant</t>
  </si>
  <si>
    <t>Only booking contributed</t>
  </si>
  <si>
    <t>YTD 2025 Total</t>
  </si>
  <si>
    <t xml:space="preserve">     Corporate/Organizational Revenue</t>
  </si>
  <si>
    <t>2/28/25</t>
  </si>
  <si>
    <t>February 28, 2025</t>
  </si>
  <si>
    <t>For the Period July 1 - February 28, 2025</t>
  </si>
  <si>
    <t>Ending Balance 2/28/25</t>
  </si>
  <si>
    <t>July-Feb Actual</t>
  </si>
  <si>
    <t xml:space="preserve"> July-Feb Budget</t>
  </si>
  <si>
    <t xml:space="preserve">          In Kind Donations</t>
  </si>
  <si>
    <t xml:space="preserve">In Kind Donations </t>
  </si>
  <si>
    <t>In Kind Expenses</t>
  </si>
  <si>
    <t>2/29/24</t>
  </si>
  <si>
    <t xml:space="preserve">               Accrued Payroll &amp; Vacation</t>
  </si>
  <si>
    <t>For the Period July 1, 2024 - February 28, 2025</t>
  </si>
  <si>
    <t>Change in Value of Endowment</t>
  </si>
  <si>
    <t xml:space="preserve">    Less: Special Event Expenses</t>
  </si>
  <si>
    <t>Total Expenses By Function</t>
  </si>
  <si>
    <t>Interfund Transfer</t>
  </si>
  <si>
    <t>Endowment  -Sue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</si>
</sst>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;\([$$-409]#,##0\);[$$-409]#,##0"/>
    <numFmt numFmtId="166" formatCode="[$-409]mmmm\ d\,\ yyyy;@"/>
  </numFmts>
  <fonts count="3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entury Gothic"/>
      <family val="2"/>
    </font>
    <font>
      <i/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8"/>
      <color rgb="FF000000"/>
      <name val="Century Gothic"/>
      <family val="2"/>
    </font>
    <font>
      <i/>
      <sz val="9"/>
      <color rgb="FF000000"/>
      <name val="Century Gothic"/>
      <family val="2"/>
    </font>
    <font>
      <b/>
      <i/>
      <sz val="8"/>
      <color rgb="FF000000"/>
      <name val="Century Gothic"/>
      <family val="2"/>
    </font>
    <font>
      <b/>
      <i/>
      <sz val="9"/>
      <color rgb="FF000000"/>
      <name val="Century Gothic"/>
      <family val="2"/>
    </font>
    <font>
      <sz val="11"/>
      <color rgb="FFFF0000"/>
      <name val="Century Gothic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5" fillId="0" borderId="0" xfId="0" applyFont="1"/>
    <xf numFmtId="49" fontId="7" fillId="0" borderId="0" xfId="0" applyNumberFormat="1" applyFont="1" applyAlignment="1">
      <alignment vertical="top"/>
    </xf>
    <xf numFmtId="0" fontId="9" fillId="0" borderId="0" xfId="0" applyFont="1"/>
    <xf numFmtId="164" fontId="10" fillId="0" borderId="0" xfId="1" applyNumberFormat="1" applyFont="1" applyAlignment="1">
      <alignment horizontal="right" vertical="top"/>
    </xf>
    <xf numFmtId="164" fontId="10" fillId="0" borderId="2" xfId="1" applyNumberFormat="1" applyFont="1" applyBorder="1" applyAlignment="1">
      <alignment horizontal="right" vertical="top"/>
    </xf>
    <xf numFmtId="164" fontId="9" fillId="0" borderId="0" xfId="1" applyNumberFormat="1" applyFont="1"/>
    <xf numFmtId="164" fontId="10" fillId="0" borderId="3" xfId="1" applyNumberFormat="1" applyFont="1" applyBorder="1" applyAlignment="1">
      <alignment horizontal="right" vertical="top"/>
    </xf>
    <xf numFmtId="164" fontId="10" fillId="0" borderId="0" xfId="1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164" fontId="9" fillId="0" borderId="0" xfId="1" applyNumberFormat="1" applyFont="1" applyBorder="1"/>
    <xf numFmtId="0" fontId="9" fillId="0" borderId="0" xfId="3" applyFont="1"/>
    <xf numFmtId="164" fontId="10" fillId="0" borderId="1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5" xfId="1" applyNumberFormat="1" applyFont="1" applyBorder="1" applyAlignment="1">
      <alignment horizontal="right" vertical="top"/>
    </xf>
    <xf numFmtId="0" fontId="6" fillId="0" borderId="0" xfId="3" applyFont="1"/>
    <xf numFmtId="0" fontId="5" fillId="0" borderId="0" xfId="3" applyFont="1"/>
    <xf numFmtId="49" fontId="5" fillId="0" borderId="1" xfId="3" applyNumberFormat="1" applyFont="1" applyBorder="1" applyAlignment="1">
      <alignment horizontal="center" wrapText="1"/>
    </xf>
    <xf numFmtId="49" fontId="5" fillId="0" borderId="1" xfId="3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3" applyFont="1"/>
    <xf numFmtId="49" fontId="5" fillId="0" borderId="1" xfId="0" applyNumberFormat="1" applyFont="1" applyBorder="1" applyAlignment="1">
      <alignment horizontal="center" wrapText="1"/>
    </xf>
    <xf numFmtId="164" fontId="10" fillId="0" borderId="4" xfId="1" applyNumberFormat="1" applyFont="1" applyBorder="1" applyAlignment="1">
      <alignment horizontal="right" vertical="top"/>
    </xf>
    <xf numFmtId="0" fontId="14" fillId="0" borderId="0" xfId="6" applyFont="1"/>
    <xf numFmtId="0" fontId="15" fillId="0" borderId="0" xfId="6" applyFont="1"/>
    <xf numFmtId="0" fontId="16" fillId="0" borderId="0" xfId="6" applyFont="1"/>
    <xf numFmtId="14" fontId="17" fillId="0" borderId="4" xfId="6" applyNumberFormat="1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8" fillId="0" borderId="0" xfId="6" applyFont="1"/>
    <xf numFmtId="164" fontId="9" fillId="0" borderId="0" xfId="7" applyNumberFormat="1" applyFont="1"/>
    <xf numFmtId="164" fontId="4" fillId="0" borderId="0" xfId="7" applyNumberFormat="1" applyFont="1"/>
    <xf numFmtId="164" fontId="9" fillId="0" borderId="4" xfId="7" applyNumberFormat="1" applyFont="1" applyBorder="1"/>
    <xf numFmtId="164" fontId="4" fillId="0" borderId="4" xfId="7" applyNumberFormat="1" applyFont="1" applyBorder="1"/>
    <xf numFmtId="164" fontId="17" fillId="0" borderId="0" xfId="7" applyNumberFormat="1" applyFont="1"/>
    <xf numFmtId="9" fontId="16" fillId="0" borderId="0" xfId="8" applyFont="1"/>
    <xf numFmtId="0" fontId="19" fillId="0" borderId="0" xfId="6" applyFont="1"/>
    <xf numFmtId="43" fontId="16" fillId="0" borderId="0" xfId="6" applyNumberFormat="1" applyFont="1"/>
    <xf numFmtId="164" fontId="16" fillId="0" borderId="0" xfId="6" applyNumberFormat="1" applyFont="1"/>
    <xf numFmtId="9" fontId="11" fillId="0" borderId="0" xfId="2" applyFont="1"/>
    <xf numFmtId="49" fontId="5" fillId="0" borderId="0" xfId="3" applyNumberFormat="1" applyFont="1" applyAlignment="1">
      <alignment vertical="top"/>
    </xf>
    <xf numFmtId="0" fontId="7" fillId="0" borderId="0" xfId="3" applyFont="1" applyAlignment="1">
      <alignment vertical="top"/>
    </xf>
    <xf numFmtId="164" fontId="10" fillId="0" borderId="6" xfId="1" applyNumberFormat="1" applyFont="1" applyBorder="1" applyAlignment="1">
      <alignment horizontal="right" vertical="top"/>
    </xf>
    <xf numFmtId="164" fontId="6" fillId="0" borderId="0" xfId="0" applyNumberFormat="1" applyFont="1"/>
    <xf numFmtId="0" fontId="12" fillId="0" borderId="0" xfId="3" applyFont="1"/>
    <xf numFmtId="164" fontId="11" fillId="0" borderId="0" xfId="3" applyNumberFormat="1" applyFont="1"/>
    <xf numFmtId="164" fontId="13" fillId="0" borderId="0" xfId="0" applyNumberFormat="1" applyFont="1"/>
    <xf numFmtId="164" fontId="13" fillId="0" borderId="0" xfId="3" applyNumberFormat="1" applyFont="1"/>
    <xf numFmtId="43" fontId="6" fillId="0" borderId="0" xfId="0" applyNumberFormat="1" applyFont="1"/>
    <xf numFmtId="164" fontId="6" fillId="0" borderId="0" xfId="1" applyNumberFormat="1" applyFont="1"/>
    <xf numFmtId="0" fontId="21" fillId="0" borderId="0" xfId="3" applyFont="1"/>
    <xf numFmtId="164" fontId="21" fillId="0" borderId="0" xfId="3" applyNumberFormat="1" applyFont="1"/>
    <xf numFmtId="43" fontId="12" fillId="0" borderId="0" xfId="1" applyFont="1"/>
    <xf numFmtId="164" fontId="6" fillId="0" borderId="0" xfId="3" applyNumberFormat="1" applyFont="1"/>
    <xf numFmtId="49" fontId="5" fillId="0" borderId="4" xfId="3" applyNumberFormat="1" applyFont="1" applyBorder="1" applyAlignment="1">
      <alignment horizontal="center" wrapText="1"/>
    </xf>
    <xf numFmtId="0" fontId="20" fillId="0" borderId="0" xfId="3" applyFont="1"/>
    <xf numFmtId="164" fontId="9" fillId="0" borderId="6" xfId="1" applyNumberFormat="1" applyFont="1" applyBorder="1"/>
    <xf numFmtId="0" fontId="22" fillId="0" borderId="0" xfId="3" applyFont="1"/>
    <xf numFmtId="164" fontId="11" fillId="0" borderId="0" xfId="1" applyNumberFormat="1" applyFont="1"/>
    <xf numFmtId="164" fontId="11" fillId="0" borderId="7" xfId="1" applyNumberFormat="1" applyFont="1" applyBorder="1"/>
    <xf numFmtId="164" fontId="6" fillId="0" borderId="4" xfId="1" applyNumberFormat="1" applyFont="1" applyBorder="1"/>
    <xf numFmtId="0" fontId="12" fillId="0" borderId="8" xfId="0" applyFont="1" applyBorder="1"/>
    <xf numFmtId="0" fontId="12" fillId="0" borderId="9" xfId="0" applyFont="1" applyBorder="1"/>
    <xf numFmtId="164" fontId="12" fillId="0" borderId="9" xfId="0" applyNumberFormat="1" applyFont="1" applyBorder="1"/>
    <xf numFmtId="0" fontId="23" fillId="0" borderId="10" xfId="0" applyFont="1" applyBorder="1"/>
    <xf numFmtId="0" fontId="12" fillId="0" borderId="11" xfId="0" applyFont="1" applyBorder="1"/>
    <xf numFmtId="0" fontId="13" fillId="0" borderId="12" xfId="0" applyFont="1" applyBorder="1"/>
    <xf numFmtId="0" fontId="6" fillId="0" borderId="11" xfId="0" applyFont="1" applyBorder="1"/>
    <xf numFmtId="164" fontId="6" fillId="0" borderId="0" xfId="1" applyNumberFormat="1" applyFont="1" applyBorder="1"/>
    <xf numFmtId="0" fontId="20" fillId="0" borderId="0" xfId="0" applyFont="1" applyAlignment="1">
      <alignment vertical="top"/>
    </xf>
    <xf numFmtId="49" fontId="5" fillId="0" borderId="0" xfId="0" applyNumberFormat="1" applyFont="1" applyAlignment="1">
      <alignment horizontal="center"/>
    </xf>
    <xf numFmtId="164" fontId="8" fillId="0" borderId="0" xfId="1" applyNumberFormat="1" applyFont="1" applyBorder="1" applyAlignment="1">
      <alignment horizontal="right" vertical="top"/>
    </xf>
    <xf numFmtId="43" fontId="6" fillId="0" borderId="0" xfId="1" applyFont="1"/>
    <xf numFmtId="164" fontId="6" fillId="0" borderId="4" xfId="0" applyNumberFormat="1" applyFont="1" applyBorder="1"/>
    <xf numFmtId="0" fontId="22" fillId="0" borderId="0" xfId="0" applyFont="1"/>
    <xf numFmtId="0" fontId="12" fillId="0" borderId="4" xfId="3" applyFont="1" applyBorder="1" applyAlignment="1">
      <alignment horizontal="center" wrapText="1"/>
    </xf>
    <xf numFmtId="0" fontId="24" fillId="0" borderId="0" xfId="0" applyFont="1"/>
    <xf numFmtId="37" fontId="10" fillId="0" borderId="0" xfId="0" applyNumberFormat="1" applyFont="1" applyAlignment="1">
      <alignment horizontal="right" vertical="top"/>
    </xf>
    <xf numFmtId="164" fontId="10" fillId="0" borderId="0" xfId="1" applyNumberFormat="1" applyFont="1" applyFill="1" applyAlignment="1">
      <alignment horizontal="right" vertical="top"/>
    </xf>
    <xf numFmtId="38" fontId="10" fillId="0" borderId="0" xfId="1" applyNumberFormat="1" applyFont="1" applyAlignment="1">
      <alignment horizontal="right" vertical="top"/>
    </xf>
    <xf numFmtId="38" fontId="6" fillId="0" borderId="0" xfId="0" applyNumberFormat="1" applyFont="1"/>
    <xf numFmtId="38" fontId="10" fillId="0" borderId="1" xfId="1" applyNumberFormat="1" applyFont="1" applyBorder="1" applyAlignment="1">
      <alignment horizontal="right" vertical="top"/>
    </xf>
    <xf numFmtId="165" fontId="6" fillId="0" borderId="0" xfId="0" applyNumberFormat="1" applyFont="1"/>
    <xf numFmtId="164" fontId="25" fillId="0" borderId="0" xfId="0" applyNumberFormat="1" applyFont="1"/>
    <xf numFmtId="164" fontId="22" fillId="0" borderId="0" xfId="0" applyNumberFormat="1" applyFont="1"/>
    <xf numFmtId="164" fontId="9" fillId="0" borderId="0" xfId="1" applyNumberFormat="1" applyFont="1" applyFill="1"/>
    <xf numFmtId="164" fontId="9" fillId="0" borderId="0" xfId="0" applyNumberFormat="1" applyFont="1"/>
    <xf numFmtId="164" fontId="12" fillId="0" borderId="0" xfId="1" applyNumberFormat="1" applyFont="1"/>
    <xf numFmtId="164" fontId="12" fillId="0" borderId="4" xfId="1" applyNumberFormat="1" applyFont="1" applyBorder="1" applyAlignment="1">
      <alignment horizontal="center" wrapText="1"/>
    </xf>
    <xf numFmtId="0" fontId="26" fillId="0" borderId="0" xfId="3" applyFont="1"/>
    <xf numFmtId="0" fontId="27" fillId="0" borderId="0" xfId="3" applyFont="1"/>
    <xf numFmtId="37" fontId="9" fillId="0" borderId="0" xfId="11" applyNumberFormat="1" applyFont="1" applyAlignment="1">
      <alignment horizontal="right"/>
    </xf>
    <xf numFmtId="43" fontId="6" fillId="0" borderId="0" xfId="3" applyNumberFormat="1" applyFont="1"/>
    <xf numFmtId="49" fontId="5" fillId="0" borderId="4" xfId="0" applyNumberFormat="1" applyFont="1" applyBorder="1" applyAlignment="1">
      <alignment horizontal="center" wrapText="1"/>
    </xf>
    <xf numFmtId="0" fontId="12" fillId="0" borderId="13" xfId="0" applyFont="1" applyBorder="1"/>
    <xf numFmtId="0" fontId="12" fillId="0" borderId="14" xfId="0" applyFont="1" applyBorder="1"/>
    <xf numFmtId="164" fontId="12" fillId="0" borderId="14" xfId="0" applyNumberFormat="1" applyFont="1" applyBorder="1"/>
    <xf numFmtId="0" fontId="23" fillId="0" borderId="15" xfId="0" applyFont="1" applyBorder="1"/>
    <xf numFmtId="164" fontId="11" fillId="0" borderId="0" xfId="7" applyNumberFormat="1" applyFont="1"/>
    <xf numFmtId="0" fontId="11" fillId="0" borderId="0" xfId="3" applyFont="1"/>
    <xf numFmtId="164" fontId="9" fillId="0" borderId="0" xfId="3" applyNumberFormat="1" applyFont="1"/>
    <xf numFmtId="0" fontId="11" fillId="0" borderId="4" xfId="3" applyFont="1" applyBorder="1" applyAlignment="1">
      <alignment horizontal="center"/>
    </xf>
    <xf numFmtId="164" fontId="12" fillId="0" borderId="0" xfId="0" applyNumberFormat="1" applyFont="1"/>
    <xf numFmtId="0" fontId="23" fillId="0" borderId="12" xfId="0" applyFont="1" applyBorder="1"/>
    <xf numFmtId="0" fontId="12" fillId="0" borderId="11" xfId="0" applyFont="1" applyBorder="1" applyAlignment="1">
      <alignment horizontal="left"/>
    </xf>
    <xf numFmtId="164" fontId="8" fillId="0" borderId="7" xfId="1" applyNumberFormat="1" applyFont="1" applyBorder="1" applyAlignment="1">
      <alignment horizontal="right" vertical="top"/>
    </xf>
    <xf numFmtId="165" fontId="9" fillId="0" borderId="0" xfId="0" applyNumberFormat="1" applyFont="1"/>
    <xf numFmtId="164" fontId="11" fillId="0" borderId="4" xfId="3" applyNumberFormat="1" applyFont="1" applyBorder="1"/>
    <xf numFmtId="164" fontId="11" fillId="0" borderId="4" xfId="1" applyNumberFormat="1" applyFont="1" applyBorder="1"/>
    <xf numFmtId="38" fontId="10" fillId="0" borderId="4" xfId="1" applyNumberFormat="1" applyFont="1" applyBorder="1" applyAlignment="1">
      <alignment horizontal="right" vertical="top"/>
    </xf>
    <xf numFmtId="0" fontId="6" fillId="2" borderId="0" xfId="3" applyFont="1" applyFill="1"/>
    <xf numFmtId="164" fontId="6" fillId="2" borderId="0" xfId="3" applyNumberFormat="1" applyFont="1" applyFill="1"/>
    <xf numFmtId="0" fontId="12" fillId="2" borderId="0" xfId="3" applyFont="1" applyFill="1"/>
    <xf numFmtId="0" fontId="12" fillId="2" borderId="4" xfId="3" applyFont="1" applyFill="1" applyBorder="1"/>
    <xf numFmtId="164" fontId="11" fillId="0" borderId="0" xfId="1" applyNumberFormat="1" applyFont="1" applyBorder="1"/>
    <xf numFmtId="164" fontId="9" fillId="0" borderId="4" xfId="1" applyNumberFormat="1" applyFont="1" applyBorder="1"/>
    <xf numFmtId="0" fontId="6" fillId="2" borderId="4" xfId="3" applyFont="1" applyFill="1" applyBorder="1"/>
    <xf numFmtId="164" fontId="9" fillId="0" borderId="4" xfId="3" applyNumberFormat="1" applyFont="1" applyBorder="1"/>
    <xf numFmtId="164" fontId="11" fillId="0" borderId="6" xfId="3" applyNumberFormat="1" applyFont="1" applyBorder="1"/>
    <xf numFmtId="0" fontId="12" fillId="2" borderId="6" xfId="3" applyFont="1" applyFill="1" applyBorder="1"/>
    <xf numFmtId="164" fontId="11" fillId="0" borderId="6" xfId="1" applyNumberFormat="1" applyFont="1" applyBorder="1"/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5" fillId="0" borderId="0" xfId="0" applyFont="1"/>
    <xf numFmtId="49" fontId="7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0" fontId="20" fillId="0" borderId="0" xfId="3" applyFont="1" applyAlignment="1">
      <alignment vertical="top"/>
    </xf>
    <xf numFmtId="0" fontId="5" fillId="0" borderId="0" xfId="3" applyFont="1"/>
    <xf numFmtId="49" fontId="7" fillId="0" borderId="0" xfId="3" applyNumberFormat="1" applyFont="1" applyAlignment="1">
      <alignment horizontal="center" vertical="top"/>
    </xf>
    <xf numFmtId="49" fontId="7" fillId="0" borderId="0" xfId="3" applyNumberFormat="1" applyFont="1" applyAlignment="1">
      <alignment horizontal="left" vertical="top"/>
    </xf>
    <xf numFmtId="49" fontId="5" fillId="0" borderId="1" xfId="3" applyNumberFormat="1" applyFont="1" applyBorder="1" applyAlignment="1">
      <alignment horizontal="center"/>
    </xf>
    <xf numFmtId="166" fontId="5" fillId="0" borderId="0" xfId="0" applyNumberFormat="1" applyFont="1" applyAlignment="1">
      <alignment horizontal="left" vertical="top"/>
    </xf>
  </cellXfs>
  <cellStyles count="12">
    <cellStyle name="Comma" xfId="1" builtinId="3"/>
    <cellStyle name="Comma 15" xfId="7" xr:uid="{6CCEB3B4-6AC0-482E-8D83-96C96532D44E}"/>
    <cellStyle name="Comma 2" xfId="5" xr:uid="{090C36C7-8B93-422C-95BF-82FFBF34C7D2}"/>
    <cellStyle name="Comma 3" xfId="10" xr:uid="{3365F7AC-2262-4D49-BFD2-5EACF6BABBE2}"/>
    <cellStyle name="Currency" xfId="11" builtinId="4"/>
    <cellStyle name="Normal" xfId="0" builtinId="0"/>
    <cellStyle name="Normal 11" xfId="6" xr:uid="{C671A48E-5472-449E-9D19-6630DC90544E}"/>
    <cellStyle name="Normal 2" xfId="3" xr:uid="{29ACA96F-D79E-453D-BF6F-B5F1DEF5D8C7}"/>
    <cellStyle name="Normal 3" xfId="4" xr:uid="{6CCC442A-CB1F-43F5-B5A5-AF9814687AF4}"/>
    <cellStyle name="Normal 4" xfId="9" xr:uid="{0D304731-ACBA-45F1-AA42-A288A7FE1360}"/>
    <cellStyle name="Percent" xfId="2" builtinId="5"/>
    <cellStyle name="Percent 2" xfId="8" xr:uid="{E6AA77DC-3FCE-4BC1-9BF3-383D67B26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zoomScale="90" zoomScaleNormal="90" workbookViewId="0">
      <selection activeCell="M13" sqref="M13"/>
    </sheetView>
  </sheetViews>
  <sheetFormatPr defaultRowHeight="16.5" x14ac:dyDescent="0.3"/>
  <cols>
    <col min="1" max="1" width="14.5703125" style="1" customWidth="1"/>
    <col min="2" max="2" width="7.5703125" style="1" customWidth="1"/>
    <col min="3" max="3" width="38.7109375" style="1" customWidth="1"/>
    <col min="4" max="4" width="13.28515625" style="1" customWidth="1"/>
    <col min="5" max="5" width="3.140625" style="1" customWidth="1"/>
    <col min="6" max="6" width="13.28515625" style="1" customWidth="1"/>
    <col min="7" max="7" width="3.5703125" style="24" customWidth="1"/>
    <col min="8" max="8" width="9.140625" style="78"/>
    <col min="9" max="9" width="11.5703125" style="1" bestFit="1" customWidth="1"/>
    <col min="10" max="10" width="14.5703125" style="1" bestFit="1" customWidth="1"/>
    <col min="11" max="12" width="9.85546875" style="1" bestFit="1" customWidth="1"/>
    <col min="13" max="15" width="9.140625" style="1"/>
    <col min="16" max="16" width="12.5703125" style="1" customWidth="1"/>
    <col min="17" max="16384" width="9.140625" style="1"/>
  </cols>
  <sheetData>
    <row r="1" spans="1:12" ht="19.899999999999999" customHeight="1" x14ac:dyDescent="0.3">
      <c r="A1" s="127" t="s">
        <v>0</v>
      </c>
      <c r="B1" s="127"/>
      <c r="C1" s="127"/>
      <c r="D1" s="127"/>
      <c r="E1" s="127"/>
      <c r="F1" s="127"/>
    </row>
    <row r="2" spans="1:12" ht="19.899999999999999" customHeight="1" x14ac:dyDescent="0.3">
      <c r="A2" s="127" t="s">
        <v>1</v>
      </c>
      <c r="B2" s="127"/>
      <c r="C2" s="127"/>
      <c r="D2" s="127"/>
      <c r="E2" s="127"/>
      <c r="F2" s="127"/>
    </row>
    <row r="3" spans="1:12" ht="16.899999999999999" customHeight="1" x14ac:dyDescent="0.3">
      <c r="A3" s="127" t="s">
        <v>176</v>
      </c>
      <c r="B3" s="127"/>
      <c r="C3" s="127"/>
      <c r="D3" s="127"/>
      <c r="E3" s="127"/>
      <c r="F3" s="127"/>
    </row>
    <row r="4" spans="1:12" ht="15.75" customHeight="1" x14ac:dyDescent="0.3">
      <c r="A4" s="128"/>
      <c r="B4" s="128"/>
      <c r="C4" s="128"/>
      <c r="D4" s="128"/>
      <c r="E4" s="128"/>
      <c r="F4" s="128"/>
    </row>
    <row r="5" spans="1:12" ht="15.75" customHeight="1" x14ac:dyDescent="0.3">
      <c r="A5" s="2"/>
      <c r="B5" s="129"/>
      <c r="C5" s="129"/>
      <c r="D5" s="12" t="s">
        <v>175</v>
      </c>
      <c r="E5" s="11"/>
      <c r="F5" s="12" t="s">
        <v>184</v>
      </c>
    </row>
    <row r="6" spans="1:12" ht="15.75" customHeight="1" x14ac:dyDescent="0.3">
      <c r="A6" s="125" t="s">
        <v>2</v>
      </c>
      <c r="B6" s="125"/>
      <c r="C6" s="125"/>
      <c r="D6" s="4"/>
      <c r="E6" s="4"/>
      <c r="F6" s="4"/>
    </row>
    <row r="7" spans="1:12" ht="15.75" customHeight="1" x14ac:dyDescent="0.3">
      <c r="A7" s="125" t="s">
        <v>158</v>
      </c>
      <c r="B7" s="125"/>
      <c r="C7" s="125"/>
      <c r="D7" s="95">
        <v>527115.5</v>
      </c>
      <c r="E7" s="9"/>
      <c r="F7" s="7">
        <v>651563.55000000005</v>
      </c>
      <c r="I7" s="87"/>
      <c r="J7" s="52"/>
    </row>
    <row r="8" spans="1:12" ht="15.75" customHeight="1" x14ac:dyDescent="0.3">
      <c r="A8" s="125" t="s">
        <v>159</v>
      </c>
      <c r="B8" s="125"/>
      <c r="C8" s="125"/>
      <c r="D8" s="110">
        <f>1731128.5-37705</f>
        <v>1693423.5</v>
      </c>
      <c r="E8" s="110"/>
      <c r="F8" s="110">
        <v>1002057.3</v>
      </c>
      <c r="I8" s="87"/>
      <c r="J8" s="52"/>
    </row>
    <row r="9" spans="1:12" ht="15.75" customHeight="1" x14ac:dyDescent="0.3">
      <c r="A9" s="125" t="s">
        <v>3</v>
      </c>
      <c r="B9" s="125"/>
      <c r="C9" s="125"/>
      <c r="D9" s="5">
        <v>1728210.76</v>
      </c>
      <c r="E9" s="9"/>
      <c r="F9" s="7">
        <v>3659547.01</v>
      </c>
      <c r="H9" s="78" t="s">
        <v>172</v>
      </c>
      <c r="I9" s="87"/>
      <c r="J9" s="76"/>
      <c r="K9" s="47"/>
      <c r="L9" s="47"/>
    </row>
    <row r="10" spans="1:12" ht="15.75" customHeight="1" x14ac:dyDescent="0.3">
      <c r="A10" s="125" t="s">
        <v>4</v>
      </c>
      <c r="B10" s="125"/>
      <c r="C10" s="125"/>
      <c r="D10" s="5">
        <v>15299.13</v>
      </c>
      <c r="E10" s="9"/>
      <c r="F10" s="7">
        <v>0</v>
      </c>
      <c r="I10" s="87"/>
    </row>
    <row r="11" spans="1:12" ht="15.75" customHeight="1" x14ac:dyDescent="0.3">
      <c r="A11" s="125" t="s">
        <v>5</v>
      </c>
      <c r="B11" s="125"/>
      <c r="C11" s="125"/>
      <c r="D11" s="5">
        <v>3831567</v>
      </c>
      <c r="E11" s="9"/>
      <c r="F11" s="7">
        <v>1150114.1299999999</v>
      </c>
      <c r="H11" s="78" t="s">
        <v>168</v>
      </c>
      <c r="I11" s="87"/>
      <c r="J11" s="86"/>
    </row>
    <row r="12" spans="1:12" ht="15.75" customHeight="1" x14ac:dyDescent="0.3">
      <c r="A12" s="125" t="s">
        <v>19</v>
      </c>
      <c r="B12" s="125"/>
      <c r="C12" s="125"/>
      <c r="D12" s="82">
        <f>521069.75+37705</f>
        <v>558774.75</v>
      </c>
      <c r="E12" s="9"/>
      <c r="F12" s="7">
        <v>521070</v>
      </c>
      <c r="I12" s="87"/>
      <c r="J12" s="47"/>
      <c r="K12" s="47"/>
    </row>
    <row r="13" spans="1:12" ht="15.75" customHeight="1" x14ac:dyDescent="0.3">
      <c r="A13" s="125" t="s">
        <v>6</v>
      </c>
      <c r="B13" s="125"/>
      <c r="C13" s="125"/>
      <c r="D13" s="5">
        <v>1847147.75</v>
      </c>
      <c r="E13" s="9"/>
      <c r="F13" s="7">
        <v>1951810.81</v>
      </c>
      <c r="I13" s="87"/>
      <c r="J13" s="47"/>
    </row>
    <row r="14" spans="1:12" ht="15.75" customHeight="1" thickBot="1" x14ac:dyDescent="0.35">
      <c r="A14" s="125" t="s">
        <v>7</v>
      </c>
      <c r="B14" s="125"/>
      <c r="C14" s="125"/>
      <c r="D14" s="6">
        <f>SUM(D7:D13)</f>
        <v>10201538.390000001</v>
      </c>
      <c r="E14" s="9"/>
      <c r="F14" s="6">
        <f>SUM(F7:F13)</f>
        <v>8936162.7999999989</v>
      </c>
      <c r="I14" s="87"/>
    </row>
    <row r="15" spans="1:12" ht="15.75" customHeight="1" thickTop="1" x14ac:dyDescent="0.3">
      <c r="D15" s="7"/>
      <c r="E15" s="13"/>
      <c r="F15" s="7"/>
    </row>
    <row r="16" spans="1:12" ht="15.75" customHeight="1" x14ac:dyDescent="0.3">
      <c r="A16" s="125" t="s">
        <v>8</v>
      </c>
      <c r="B16" s="125"/>
      <c r="C16" s="125"/>
      <c r="D16" s="7"/>
      <c r="E16" s="13"/>
      <c r="F16" s="7"/>
    </row>
    <row r="17" spans="1:9" ht="15.75" customHeight="1" x14ac:dyDescent="0.3">
      <c r="A17" s="125" t="s">
        <v>9</v>
      </c>
      <c r="B17" s="125"/>
      <c r="C17" s="125"/>
      <c r="D17" s="7"/>
      <c r="E17" s="13"/>
      <c r="F17" s="7"/>
    </row>
    <row r="18" spans="1:9" ht="15.75" customHeight="1" x14ac:dyDescent="0.3">
      <c r="A18" s="125" t="s">
        <v>165</v>
      </c>
      <c r="B18" s="125"/>
      <c r="C18" s="125"/>
      <c r="D18" s="90">
        <v>9971</v>
      </c>
      <c r="E18" s="9"/>
      <c r="F18" s="7">
        <v>11076.45</v>
      </c>
    </row>
    <row r="19" spans="1:9" ht="15.75" customHeight="1" x14ac:dyDescent="0.3">
      <c r="A19" s="126" t="s">
        <v>185</v>
      </c>
      <c r="B19" s="126"/>
      <c r="C19" s="126"/>
      <c r="D19" s="90">
        <v>84687.24</v>
      </c>
      <c r="E19" s="9"/>
      <c r="F19" s="7">
        <v>75313.100000000006</v>
      </c>
    </row>
    <row r="20" spans="1:9" ht="15.75" customHeight="1" x14ac:dyDescent="0.3">
      <c r="A20" s="125" t="s">
        <v>10</v>
      </c>
      <c r="B20" s="125"/>
      <c r="C20" s="125"/>
      <c r="D20" s="8">
        <f>SUM(D18:D19)</f>
        <v>94658.240000000005</v>
      </c>
      <c r="E20" s="9"/>
      <c r="F20" s="8">
        <f>SUM(F18:F19)</f>
        <v>86389.55</v>
      </c>
      <c r="G20" s="9"/>
    </row>
    <row r="21" spans="1:9" ht="15.75" customHeight="1" x14ac:dyDescent="0.3">
      <c r="D21" s="7"/>
      <c r="E21" s="13"/>
      <c r="F21" s="7"/>
      <c r="I21" s="47"/>
    </row>
    <row r="22" spans="1:9" ht="15.75" customHeight="1" x14ac:dyDescent="0.3">
      <c r="A22" s="125" t="s">
        <v>11</v>
      </c>
      <c r="B22" s="125"/>
      <c r="C22" s="125"/>
      <c r="D22" s="7"/>
      <c r="E22" s="13"/>
      <c r="F22" s="7"/>
    </row>
    <row r="23" spans="1:9" ht="15.75" customHeight="1" x14ac:dyDescent="0.3">
      <c r="A23" s="125" t="s">
        <v>12</v>
      </c>
      <c r="B23" s="125"/>
      <c r="C23" s="125"/>
      <c r="D23" s="7"/>
      <c r="E23" s="13"/>
      <c r="F23" s="7"/>
    </row>
    <row r="24" spans="1:9" ht="15.75" customHeight="1" x14ac:dyDescent="0.3">
      <c r="A24" s="125" t="s">
        <v>13</v>
      </c>
      <c r="B24" s="125"/>
      <c r="C24" s="125"/>
      <c r="D24" s="5">
        <f>'Stmt Activities'!D35-'Financial Position'!D25-'Financial Position'!D26</f>
        <v>2181460.7200000007</v>
      </c>
      <c r="E24" s="9"/>
      <c r="F24" s="7">
        <f>3280716-F25</f>
        <v>1328905.19</v>
      </c>
      <c r="I24" s="47"/>
    </row>
    <row r="25" spans="1:9" ht="15.75" customHeight="1" x14ac:dyDescent="0.3">
      <c r="A25" s="3" t="s">
        <v>20</v>
      </c>
      <c r="B25" s="3"/>
      <c r="C25" s="3"/>
      <c r="D25" s="5">
        <f>D13</f>
        <v>1847147.75</v>
      </c>
      <c r="E25" s="9"/>
      <c r="F25" s="7">
        <f>F13</f>
        <v>1951810.81</v>
      </c>
      <c r="I25" s="47"/>
    </row>
    <row r="26" spans="1:9" ht="15.75" customHeight="1" x14ac:dyDescent="0.3">
      <c r="A26" s="125" t="s">
        <v>14</v>
      </c>
      <c r="B26" s="125"/>
      <c r="C26" s="125"/>
      <c r="D26" s="5">
        <v>500000</v>
      </c>
      <c r="E26" s="9"/>
      <c r="F26" s="7">
        <v>500000</v>
      </c>
    </row>
    <row r="27" spans="1:9" ht="15.75" customHeight="1" x14ac:dyDescent="0.3">
      <c r="A27" s="125" t="s">
        <v>15</v>
      </c>
      <c r="B27" s="125"/>
      <c r="C27" s="125"/>
      <c r="D27" s="8">
        <f>SUM(D24:D26)</f>
        <v>4528608.4700000007</v>
      </c>
      <c r="E27" s="9"/>
      <c r="F27" s="8">
        <f t="shared" ref="F27" si="0">SUM(F24:F26)</f>
        <v>3780716</v>
      </c>
      <c r="H27" s="88"/>
    </row>
    <row r="28" spans="1:9" ht="15.75" customHeight="1" x14ac:dyDescent="0.3">
      <c r="D28" s="7"/>
      <c r="E28" s="13"/>
      <c r="F28" s="7"/>
    </row>
    <row r="29" spans="1:9" ht="15.75" customHeight="1" x14ac:dyDescent="0.3">
      <c r="A29" s="125" t="s">
        <v>16</v>
      </c>
      <c r="B29" s="125"/>
      <c r="C29" s="125"/>
      <c r="D29" s="5">
        <f>'Stmt Activities'!E35</f>
        <v>5578271.1399999997</v>
      </c>
      <c r="E29" s="9"/>
      <c r="F29" s="7">
        <v>5069057</v>
      </c>
      <c r="I29" s="47"/>
    </row>
    <row r="30" spans="1:9" ht="15.75" customHeight="1" x14ac:dyDescent="0.3">
      <c r="A30" s="125" t="s">
        <v>17</v>
      </c>
      <c r="B30" s="125"/>
      <c r="C30" s="125"/>
      <c r="D30" s="8">
        <f>D27+D29</f>
        <v>10106879.609999999</v>
      </c>
      <c r="E30" s="9"/>
      <c r="F30" s="8">
        <f t="shared" ref="F30" si="1">F27+F29</f>
        <v>8849773</v>
      </c>
    </row>
    <row r="31" spans="1:9" ht="15.75" customHeight="1" x14ac:dyDescent="0.3">
      <c r="D31" s="7"/>
      <c r="E31" s="13"/>
      <c r="F31" s="7"/>
    </row>
    <row r="32" spans="1:9" ht="15.75" customHeight="1" thickBot="1" x14ac:dyDescent="0.35">
      <c r="A32" s="125" t="s">
        <v>18</v>
      </c>
      <c r="B32" s="125"/>
      <c r="C32" s="125"/>
      <c r="D32" s="6">
        <f>D20+D30</f>
        <v>10201537.85</v>
      </c>
      <c r="E32" s="9"/>
      <c r="F32" s="6">
        <f t="shared" ref="F32" si="2">F20+F30</f>
        <v>8936162.5500000007</v>
      </c>
    </row>
    <row r="33" spans="4:6" ht="15.75" customHeight="1" thickTop="1" x14ac:dyDescent="0.3"/>
    <row r="34" spans="4:6" ht="13.35" customHeight="1" x14ac:dyDescent="0.3">
      <c r="D34" s="47"/>
    </row>
    <row r="35" spans="4:6" ht="13.35" customHeight="1" x14ac:dyDescent="0.3">
      <c r="D35" s="47"/>
    </row>
    <row r="36" spans="4:6" ht="13.35" customHeight="1" x14ac:dyDescent="0.3"/>
    <row r="37" spans="4:6" ht="13.35" customHeight="1" x14ac:dyDescent="0.3">
      <c r="F37" s="47"/>
    </row>
    <row r="38" spans="4:6" ht="13.35" customHeight="1" x14ac:dyDescent="0.3"/>
    <row r="39" spans="4:6" ht="13.35" customHeight="1" x14ac:dyDescent="0.3"/>
    <row r="40" spans="4:6" ht="13.35" customHeight="1" x14ac:dyDescent="0.3"/>
  </sheetData>
  <mergeCells count="27">
    <mergeCell ref="A1:F1"/>
    <mergeCell ref="A2:F2"/>
    <mergeCell ref="A3:F3"/>
    <mergeCell ref="A4:F4"/>
    <mergeCell ref="B5:C5"/>
    <mergeCell ref="A11:C11"/>
    <mergeCell ref="A12:C12"/>
    <mergeCell ref="A6:C6"/>
    <mergeCell ref="A7:C7"/>
    <mergeCell ref="A9:C9"/>
    <mergeCell ref="A10:C10"/>
    <mergeCell ref="A8:C8"/>
    <mergeCell ref="A20:C20"/>
    <mergeCell ref="A22:C22"/>
    <mergeCell ref="A23:C23"/>
    <mergeCell ref="A24:C24"/>
    <mergeCell ref="A13:C13"/>
    <mergeCell ref="A14:C14"/>
    <mergeCell ref="A16:C16"/>
    <mergeCell ref="A17:C17"/>
    <mergeCell ref="A18:C18"/>
    <mergeCell ref="A19:C19"/>
    <mergeCell ref="A26:C26"/>
    <mergeCell ref="A27:C27"/>
    <mergeCell ref="A29:C29"/>
    <mergeCell ref="A30:C30"/>
    <mergeCell ref="A32:C32"/>
  </mergeCells>
  <pageMargins left="0.25" right="0.25" top="0.25" bottom="0.2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BD2-CF7E-4D16-87AA-3BE2977E8980}">
  <dimension ref="A1:Q49"/>
  <sheetViews>
    <sheetView topLeftCell="A5" zoomScale="90" zoomScaleNormal="90" workbookViewId="0">
      <selection activeCell="D14" sqref="D14"/>
    </sheetView>
  </sheetViews>
  <sheetFormatPr defaultRowHeight="16.5" x14ac:dyDescent="0.3"/>
  <cols>
    <col min="1" max="1" width="14.5703125" style="18" customWidth="1"/>
    <col min="2" max="2" width="7.5703125" style="18" customWidth="1"/>
    <col min="3" max="3" width="39.42578125" style="18" customWidth="1"/>
    <col min="4" max="4" width="14.5703125" style="18" customWidth="1"/>
    <col min="5" max="5" width="17.42578125" style="18" customWidth="1"/>
    <col min="6" max="6" width="14.5703125" style="18" customWidth="1"/>
    <col min="7" max="7" width="2.85546875" style="25" customWidth="1"/>
    <col min="8" max="8" width="14.5703125" style="18" customWidth="1"/>
    <col min="9" max="9" width="9.140625" style="61"/>
    <col min="10" max="10" width="14.5703125" style="18" bestFit="1" customWidth="1"/>
    <col min="11" max="11" width="14.28515625" style="18" customWidth="1"/>
    <col min="12" max="12" width="14.5703125" style="18" bestFit="1" customWidth="1"/>
    <col min="13" max="13" width="9.85546875" style="18" bestFit="1" customWidth="1"/>
    <col min="14" max="16" width="9.140625" style="18"/>
    <col min="17" max="17" width="14.5703125" style="76" bestFit="1" customWidth="1"/>
    <col min="18" max="16384" width="9.140625" style="18"/>
  </cols>
  <sheetData>
    <row r="1" spans="1:13" ht="19.899999999999999" customHeight="1" x14ac:dyDescent="0.3">
      <c r="A1" s="131" t="s">
        <v>0</v>
      </c>
      <c r="B1" s="131"/>
      <c r="C1" s="131"/>
      <c r="D1" s="131"/>
      <c r="E1" s="131"/>
      <c r="F1" s="44"/>
    </row>
    <row r="2" spans="1:13" ht="19.899999999999999" customHeight="1" x14ac:dyDescent="0.3">
      <c r="A2" s="131" t="s">
        <v>42</v>
      </c>
      <c r="B2" s="131"/>
      <c r="C2" s="131"/>
      <c r="D2" s="131"/>
      <c r="E2" s="131"/>
      <c r="F2" s="44"/>
    </row>
    <row r="3" spans="1:13" ht="16.899999999999999" customHeight="1" x14ac:dyDescent="0.3">
      <c r="A3" s="131" t="s">
        <v>186</v>
      </c>
      <c r="B3" s="131"/>
      <c r="C3" s="131"/>
      <c r="D3" s="131"/>
      <c r="E3" s="131"/>
      <c r="F3" s="44"/>
    </row>
    <row r="4" spans="1:13" ht="15.75" customHeight="1" x14ac:dyDescent="0.3">
      <c r="A4" s="132"/>
      <c r="B4" s="132"/>
      <c r="C4" s="132"/>
      <c r="D4" s="132"/>
      <c r="E4" s="132"/>
      <c r="F4" s="45"/>
    </row>
    <row r="5" spans="1:13" ht="48.75" customHeight="1" x14ac:dyDescent="0.3">
      <c r="A5" s="19"/>
      <c r="B5" s="133"/>
      <c r="C5" s="133"/>
      <c r="D5" s="20" t="s">
        <v>121</v>
      </c>
      <c r="E5" s="20" t="s">
        <v>43</v>
      </c>
      <c r="F5" s="58" t="s">
        <v>173</v>
      </c>
      <c r="H5" s="79" t="s">
        <v>149</v>
      </c>
    </row>
    <row r="6" spans="1:13" ht="15.75" customHeight="1" x14ac:dyDescent="0.3">
      <c r="A6" s="130" t="s">
        <v>41</v>
      </c>
      <c r="B6" s="130"/>
      <c r="C6" s="130"/>
      <c r="D6" s="14"/>
      <c r="E6" s="14"/>
      <c r="F6" s="14"/>
    </row>
    <row r="7" spans="1:13" ht="15.75" customHeight="1" x14ac:dyDescent="0.3">
      <c r="A7" s="130" t="s">
        <v>40</v>
      </c>
      <c r="B7" s="130"/>
      <c r="C7" s="130"/>
      <c r="D7" s="5">
        <v>90000</v>
      </c>
      <c r="E7" s="5">
        <v>3443133.34</v>
      </c>
      <c r="F7" s="5">
        <f>SUM(D7:E7)</f>
        <v>3533133.34</v>
      </c>
      <c r="H7" s="7">
        <v>1573176.18</v>
      </c>
      <c r="I7" s="61" t="s">
        <v>168</v>
      </c>
      <c r="J7" s="57"/>
      <c r="L7" s="57"/>
    </row>
    <row r="8" spans="1:13" ht="15.75" customHeight="1" x14ac:dyDescent="0.3">
      <c r="A8" s="130" t="s">
        <v>39</v>
      </c>
      <c r="B8" s="130"/>
      <c r="C8" s="130"/>
      <c r="D8" s="5">
        <v>0</v>
      </c>
      <c r="E8" s="5">
        <v>8452.81</v>
      </c>
      <c r="F8" s="5">
        <f t="shared" ref="F8:F13" si="0">SUM(D8:E8)</f>
        <v>8452.81</v>
      </c>
      <c r="H8" s="7">
        <v>10260.459999999999</v>
      </c>
      <c r="J8" s="57"/>
      <c r="K8" s="57"/>
    </row>
    <row r="9" spans="1:13" ht="15.75" customHeight="1" x14ac:dyDescent="0.3">
      <c r="A9" s="130" t="s">
        <v>38</v>
      </c>
      <c r="B9" s="130"/>
      <c r="C9" s="130"/>
      <c r="D9" s="5">
        <f>1053693.4-5000</f>
        <v>1048693.3999999999</v>
      </c>
      <c r="E9" s="5">
        <f>300639.63+5000</f>
        <v>305639.63</v>
      </c>
      <c r="F9" s="5">
        <f t="shared" si="0"/>
        <v>1354333.0299999998</v>
      </c>
      <c r="H9" s="89">
        <v>634377.92000000004</v>
      </c>
      <c r="J9" s="57"/>
      <c r="M9" s="57"/>
    </row>
    <row r="10" spans="1:13" ht="15.75" customHeight="1" x14ac:dyDescent="0.3">
      <c r="A10" s="130" t="s">
        <v>37</v>
      </c>
      <c r="B10" s="130"/>
      <c r="C10" s="130"/>
      <c r="D10" s="5">
        <v>75031.960000000006</v>
      </c>
      <c r="E10" s="5">
        <v>108072.15</v>
      </c>
      <c r="F10" s="5">
        <f t="shared" si="0"/>
        <v>183104.11</v>
      </c>
      <c r="H10" s="89">
        <v>224810.94</v>
      </c>
      <c r="J10" s="57"/>
    </row>
    <row r="11" spans="1:13" ht="15.75" customHeight="1" x14ac:dyDescent="0.3">
      <c r="A11" s="134" t="s">
        <v>136</v>
      </c>
      <c r="B11" s="134"/>
      <c r="C11" s="134"/>
      <c r="D11" s="5">
        <v>126148.41</v>
      </c>
      <c r="E11" s="5">
        <v>0</v>
      </c>
      <c r="F11" s="5">
        <f t="shared" si="0"/>
        <v>126148.41</v>
      </c>
      <c r="H11" s="7">
        <v>282572</v>
      </c>
      <c r="J11" s="57"/>
    </row>
    <row r="12" spans="1:13" ht="15.75" customHeight="1" x14ac:dyDescent="0.3">
      <c r="A12" s="135" t="s">
        <v>181</v>
      </c>
      <c r="B12" s="135"/>
      <c r="C12" s="135"/>
      <c r="D12" s="5">
        <v>84690</v>
      </c>
      <c r="E12" s="5"/>
      <c r="F12" s="5">
        <f t="shared" si="0"/>
        <v>84690</v>
      </c>
      <c r="H12" s="7">
        <v>13265.66</v>
      </c>
      <c r="J12" s="57"/>
    </row>
    <row r="13" spans="1:13" ht="15.75" customHeight="1" x14ac:dyDescent="0.3">
      <c r="A13" s="130" t="s">
        <v>147</v>
      </c>
      <c r="B13" s="130"/>
      <c r="C13" s="130"/>
      <c r="D13" s="5">
        <v>74294</v>
      </c>
      <c r="E13" s="5">
        <v>0</v>
      </c>
      <c r="F13" s="5">
        <f t="shared" si="0"/>
        <v>74294</v>
      </c>
      <c r="G13" s="51"/>
      <c r="H13" s="89">
        <f>115990.84-67.81-62227</f>
        <v>53696.03</v>
      </c>
      <c r="J13" s="57"/>
      <c r="L13" s="57"/>
    </row>
    <row r="14" spans="1:13" ht="15.75" customHeight="1" x14ac:dyDescent="0.3">
      <c r="A14" s="130" t="s">
        <v>36</v>
      </c>
      <c r="B14" s="130"/>
      <c r="C14" s="130"/>
      <c r="D14" s="82">
        <f>1252944.79</f>
        <v>1252944.79</v>
      </c>
      <c r="E14" s="82">
        <v>-1252944.79</v>
      </c>
      <c r="F14" s="5">
        <f t="shared" ref="F14:F15" si="1">SUM(D14:E14)</f>
        <v>0</v>
      </c>
      <c r="G14" s="55"/>
      <c r="H14" s="7"/>
      <c r="J14" s="57"/>
      <c r="L14" s="57"/>
    </row>
    <row r="15" spans="1:13" ht="15.75" customHeight="1" x14ac:dyDescent="0.3">
      <c r="A15" s="130" t="s">
        <v>35</v>
      </c>
      <c r="B15" s="130"/>
      <c r="C15" s="130"/>
      <c r="D15" s="8">
        <f>SUM(D7:D14)</f>
        <v>2751802.5599999996</v>
      </c>
      <c r="E15" s="8">
        <f>SUM(E7:E14)</f>
        <v>2612353.1399999997</v>
      </c>
      <c r="F15" s="46">
        <f t="shared" si="1"/>
        <v>5364155.6999999993</v>
      </c>
      <c r="G15" s="54"/>
      <c r="H15" s="60">
        <f>SUM(H7:H14)</f>
        <v>2792159.19</v>
      </c>
      <c r="J15" s="57"/>
      <c r="K15" s="57"/>
      <c r="L15" s="57"/>
    </row>
    <row r="16" spans="1:13" ht="15.75" customHeight="1" x14ac:dyDescent="0.3">
      <c r="D16" s="7"/>
      <c r="E16" s="7"/>
      <c r="F16" s="7"/>
      <c r="H16" s="7"/>
      <c r="J16" s="57"/>
    </row>
    <row r="17" spans="1:11" ht="15.75" customHeight="1" x14ac:dyDescent="0.3">
      <c r="A17" s="130" t="s">
        <v>34</v>
      </c>
      <c r="B17" s="130"/>
      <c r="C17" s="130"/>
      <c r="D17" s="7"/>
      <c r="E17" s="7"/>
      <c r="F17" s="7"/>
      <c r="H17" s="7"/>
      <c r="J17" s="57"/>
    </row>
    <row r="18" spans="1:11" ht="15.75" customHeight="1" x14ac:dyDescent="0.3">
      <c r="A18" s="130" t="s">
        <v>33</v>
      </c>
      <c r="B18" s="130"/>
      <c r="C18" s="130"/>
      <c r="D18" s="7"/>
      <c r="E18" s="7"/>
      <c r="F18" s="7"/>
      <c r="H18" s="7"/>
      <c r="J18" s="57"/>
    </row>
    <row r="19" spans="1:11" ht="15.75" customHeight="1" x14ac:dyDescent="0.3">
      <c r="A19" s="130" t="s">
        <v>32</v>
      </c>
      <c r="B19" s="130"/>
      <c r="C19" s="130"/>
      <c r="D19" s="5">
        <f>'Functional Exp'!B37</f>
        <v>954278.0299999998</v>
      </c>
      <c r="E19" s="5"/>
      <c r="F19" s="5">
        <f>SUM(D19:E19)</f>
        <v>954278.0299999998</v>
      </c>
      <c r="H19" s="7">
        <v>1290209</v>
      </c>
      <c r="J19" s="76"/>
      <c r="K19" s="57"/>
    </row>
    <row r="20" spans="1:11" ht="15.75" customHeight="1" x14ac:dyDescent="0.3">
      <c r="A20" s="130" t="s">
        <v>31</v>
      </c>
      <c r="B20" s="130"/>
      <c r="C20" s="130"/>
      <c r="D20" s="5">
        <f>'Functional Exp'!C37</f>
        <v>561258.65999999992</v>
      </c>
      <c r="E20" s="5"/>
      <c r="F20" s="5">
        <f t="shared" ref="F20:F27" si="2">SUM(D20:E20)</f>
        <v>561258.65999999992</v>
      </c>
      <c r="H20" s="7">
        <v>1091188.01</v>
      </c>
      <c r="J20" s="76"/>
    </row>
    <row r="21" spans="1:11" ht="15.75" customHeight="1" x14ac:dyDescent="0.3">
      <c r="A21" s="130" t="s">
        <v>30</v>
      </c>
      <c r="B21" s="130"/>
      <c r="C21" s="130"/>
      <c r="D21" s="5">
        <f>'Functional Exp'!D37</f>
        <v>50654.47</v>
      </c>
      <c r="E21" s="5"/>
      <c r="F21" s="5">
        <f t="shared" si="2"/>
        <v>50654.47</v>
      </c>
      <c r="H21" s="7">
        <v>289425.87</v>
      </c>
      <c r="J21" s="76"/>
    </row>
    <row r="22" spans="1:11" ht="15.75" customHeight="1" x14ac:dyDescent="0.3">
      <c r="A22" s="130" t="s">
        <v>29</v>
      </c>
      <c r="B22" s="130"/>
      <c r="C22" s="130"/>
      <c r="D22" s="8">
        <f>SUM(D19:D21)</f>
        <v>1566191.1599999997</v>
      </c>
      <c r="E22" s="8">
        <v>0</v>
      </c>
      <c r="F22" s="46">
        <f t="shared" si="2"/>
        <v>1566191.1599999997</v>
      </c>
      <c r="H22" s="60">
        <f>SUM(H19:H21)</f>
        <v>2670822.88</v>
      </c>
    </row>
    <row r="23" spans="1:11" ht="15.75" customHeight="1" x14ac:dyDescent="0.3">
      <c r="A23" s="130" t="s">
        <v>28</v>
      </c>
      <c r="B23" s="130"/>
      <c r="C23" s="130"/>
      <c r="D23" s="7"/>
      <c r="E23" s="7"/>
      <c r="F23" s="5"/>
      <c r="H23" s="7"/>
      <c r="K23" s="57"/>
    </row>
    <row r="24" spans="1:11" ht="15.75" customHeight="1" x14ac:dyDescent="0.3">
      <c r="A24" s="130" t="s">
        <v>27</v>
      </c>
      <c r="B24" s="130"/>
      <c r="C24" s="130"/>
      <c r="D24" s="5">
        <f>'Functional Exp'!F37</f>
        <v>122545.25</v>
      </c>
      <c r="E24" s="5"/>
      <c r="F24" s="5">
        <f t="shared" si="2"/>
        <v>122545.25</v>
      </c>
      <c r="H24" s="7">
        <v>134082.60999999999</v>
      </c>
      <c r="J24" s="57"/>
    </row>
    <row r="25" spans="1:11" ht="15.75" customHeight="1" x14ac:dyDescent="0.3">
      <c r="A25" s="130" t="s">
        <v>26</v>
      </c>
      <c r="B25" s="130"/>
      <c r="C25" s="130"/>
      <c r="D25" s="5">
        <f>'Functional Exp'!G37</f>
        <v>652110.44999999995</v>
      </c>
      <c r="E25" s="5"/>
      <c r="F25" s="5">
        <f t="shared" si="2"/>
        <v>652110.44999999995</v>
      </c>
      <c r="H25" s="7">
        <v>526363.28</v>
      </c>
    </row>
    <row r="26" spans="1:11" ht="15.75" customHeight="1" x14ac:dyDescent="0.3">
      <c r="A26" s="130" t="s">
        <v>25</v>
      </c>
      <c r="B26" s="130"/>
      <c r="C26" s="130"/>
      <c r="D26" s="8">
        <f>SUM(D24:D25)</f>
        <v>774655.7</v>
      </c>
      <c r="E26" s="8">
        <v>0</v>
      </c>
      <c r="F26" s="46">
        <f t="shared" si="2"/>
        <v>774655.7</v>
      </c>
      <c r="H26" s="60">
        <f>SUM(H24:H25)</f>
        <v>660445.89</v>
      </c>
    </row>
    <row r="27" spans="1:11" ht="15.75" customHeight="1" x14ac:dyDescent="0.3">
      <c r="A27" s="130" t="s">
        <v>24</v>
      </c>
      <c r="B27" s="130"/>
      <c r="C27" s="130"/>
      <c r="D27" s="15">
        <f>D22+D26</f>
        <v>2340846.8599999994</v>
      </c>
      <c r="E27" s="15">
        <v>0</v>
      </c>
      <c r="F27" s="46">
        <f t="shared" si="2"/>
        <v>2340846.8599999994</v>
      </c>
      <c r="G27" s="51"/>
      <c r="H27" s="60">
        <f>H22+H26</f>
        <v>3331268.77</v>
      </c>
      <c r="J27" s="53"/>
      <c r="K27" s="57"/>
    </row>
    <row r="28" spans="1:11" ht="15.75" customHeight="1" x14ac:dyDescent="0.3">
      <c r="D28" s="7"/>
      <c r="E28" s="7"/>
      <c r="F28" s="5"/>
      <c r="H28" s="7"/>
    </row>
    <row r="29" spans="1:11" ht="15.75" customHeight="1" x14ac:dyDescent="0.3">
      <c r="A29" s="18" t="s">
        <v>187</v>
      </c>
      <c r="D29" s="7">
        <f>111599.77+26500</f>
        <v>138099.77000000002</v>
      </c>
      <c r="E29" s="7"/>
      <c r="F29" s="5">
        <f>D29+E29</f>
        <v>138099.77000000002</v>
      </c>
      <c r="H29" s="7">
        <v>62227</v>
      </c>
    </row>
    <row r="30" spans="1:11" ht="15.75" customHeight="1" x14ac:dyDescent="0.3">
      <c r="D30" s="7"/>
      <c r="E30" s="7"/>
      <c r="F30" s="5"/>
      <c r="H30" s="7"/>
      <c r="J30" s="57"/>
    </row>
    <row r="31" spans="1:11" ht="15.75" customHeight="1" x14ac:dyDescent="0.3">
      <c r="A31" s="131" t="s">
        <v>23</v>
      </c>
      <c r="B31" s="131"/>
      <c r="C31" s="131"/>
      <c r="D31" s="16">
        <v>3979553</v>
      </c>
      <c r="E31" s="16">
        <v>2965918</v>
      </c>
      <c r="F31" s="16">
        <f>D31+E31</f>
        <v>6945471</v>
      </c>
      <c r="H31" s="62">
        <v>9326655.5800000001</v>
      </c>
    </row>
    <row r="32" spans="1:11" ht="15.75" customHeight="1" x14ac:dyDescent="0.3">
      <c r="D32" s="7"/>
      <c r="E32" s="7"/>
      <c r="F32" s="7"/>
      <c r="H32" s="62"/>
    </row>
    <row r="33" spans="1:11" ht="15.75" customHeight="1" x14ac:dyDescent="0.3">
      <c r="A33" s="131" t="s">
        <v>22</v>
      </c>
      <c r="B33" s="131"/>
      <c r="C33" s="131"/>
      <c r="D33" s="16">
        <f>D15-D27+D29</f>
        <v>549055.4700000002</v>
      </c>
      <c r="E33" s="16">
        <f t="shared" ref="E33:F33" si="3">E15-E27+E29</f>
        <v>2612353.1399999997</v>
      </c>
      <c r="F33" s="16">
        <f t="shared" si="3"/>
        <v>3161408.61</v>
      </c>
      <c r="H33" s="62">
        <f>H15-H27+H29</f>
        <v>-476882.58000000007</v>
      </c>
      <c r="J33" s="57"/>
      <c r="K33" s="57"/>
    </row>
    <row r="34" spans="1:11" ht="15.75" customHeight="1" x14ac:dyDescent="0.3">
      <c r="D34" s="7"/>
      <c r="E34" s="7"/>
      <c r="F34" s="7"/>
      <c r="H34" s="62"/>
    </row>
    <row r="35" spans="1:11" ht="15.75" customHeight="1" thickBot="1" x14ac:dyDescent="0.35">
      <c r="A35" s="131" t="s">
        <v>21</v>
      </c>
      <c r="B35" s="131"/>
      <c r="C35" s="131"/>
      <c r="D35" s="17">
        <f>D31+D33</f>
        <v>4528608.4700000007</v>
      </c>
      <c r="E35" s="17">
        <f>E31+E33</f>
        <v>5578271.1399999997</v>
      </c>
      <c r="F35" s="17">
        <f>F31+F33</f>
        <v>10106879.609999999</v>
      </c>
      <c r="H35" s="63">
        <f>H31+H33</f>
        <v>8849773</v>
      </c>
    </row>
    <row r="36" spans="1:11" ht="15.75" customHeight="1" thickTop="1" x14ac:dyDescent="0.3"/>
    <row r="37" spans="1:11" ht="13.35" customHeight="1" x14ac:dyDescent="0.3">
      <c r="H37" s="57"/>
    </row>
    <row r="38" spans="1:11" ht="13.35" customHeight="1" x14ac:dyDescent="0.3">
      <c r="D38" s="53"/>
      <c r="E38" s="53"/>
      <c r="F38" s="53"/>
      <c r="H38" s="53"/>
    </row>
    <row r="39" spans="1:11" ht="13.35" customHeight="1" x14ac:dyDescent="0.3">
      <c r="F39" s="57"/>
    </row>
    <row r="40" spans="1:11" ht="13.35" customHeight="1" x14ac:dyDescent="0.3"/>
    <row r="41" spans="1:11" ht="13.35" customHeight="1" x14ac:dyDescent="0.3"/>
    <row r="42" spans="1:11" ht="13.35" customHeight="1" x14ac:dyDescent="0.3"/>
    <row r="43" spans="1:11" ht="13.35" customHeight="1" x14ac:dyDescent="0.3"/>
    <row r="44" spans="1:11" ht="13.35" customHeight="1" x14ac:dyDescent="0.3"/>
    <row r="45" spans="1:11" ht="13.35" customHeight="1" x14ac:dyDescent="0.3"/>
    <row r="46" spans="1:11" ht="13.35" customHeight="1" x14ac:dyDescent="0.3"/>
    <row r="47" spans="1:11" ht="13.35" customHeight="1" x14ac:dyDescent="0.3"/>
    <row r="48" spans="1:11" ht="13.35" customHeight="1" x14ac:dyDescent="0.3"/>
    <row r="49" ht="13.35" customHeight="1" x14ac:dyDescent="0.3"/>
  </sheetData>
  <mergeCells count="29">
    <mergeCell ref="A26:C26"/>
    <mergeCell ref="A35:C35"/>
    <mergeCell ref="A27:C27"/>
    <mergeCell ref="A31:C31"/>
    <mergeCell ref="A33:C33"/>
    <mergeCell ref="A21:C21"/>
    <mergeCell ref="A22:C22"/>
    <mergeCell ref="A23:C23"/>
    <mergeCell ref="A24:C24"/>
    <mergeCell ref="A25:C25"/>
    <mergeCell ref="A15:C15"/>
    <mergeCell ref="A17:C17"/>
    <mergeCell ref="A18:C18"/>
    <mergeCell ref="A19:C19"/>
    <mergeCell ref="A20:C20"/>
    <mergeCell ref="A9:C9"/>
    <mergeCell ref="A10:C10"/>
    <mergeCell ref="A13:C13"/>
    <mergeCell ref="A14:C14"/>
    <mergeCell ref="A11:C11"/>
    <mergeCell ref="A12:C12"/>
    <mergeCell ref="A6:C6"/>
    <mergeCell ref="A7:C7"/>
    <mergeCell ref="A8:C8"/>
    <mergeCell ref="A1:E1"/>
    <mergeCell ref="A2:E2"/>
    <mergeCell ref="A3:E3"/>
    <mergeCell ref="A4:E4"/>
    <mergeCell ref="B5:C5"/>
  </mergeCells>
  <pageMargins left="0.25" right="0.25" top="0.25" bottom="0.25" header="0.5" footer="0.5"/>
  <pageSetup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03D9-FDB7-4A1C-B843-5745A394AC2F}">
  <dimension ref="A1:M45"/>
  <sheetViews>
    <sheetView topLeftCell="A13" zoomScale="90" zoomScaleNormal="90" workbookViewId="0">
      <selection activeCell="Q31" sqref="Q31"/>
    </sheetView>
  </sheetViews>
  <sheetFormatPr defaultRowHeight="16.5" x14ac:dyDescent="0.3"/>
  <cols>
    <col min="1" max="1" width="51.28515625" style="18" customWidth="1"/>
    <col min="2" max="5" width="12.7109375" style="18" customWidth="1"/>
    <col min="6" max="6" width="15.7109375" style="18" customWidth="1"/>
    <col min="7" max="9" width="12.7109375" style="18" customWidth="1"/>
    <col min="10" max="10" width="3.140625" style="18" customWidth="1"/>
    <col min="11" max="11" width="12.28515625" style="53" customWidth="1"/>
    <col min="12" max="12" width="14.42578125" style="14" customWidth="1"/>
    <col min="13" max="13" width="9.140625" style="94"/>
    <col min="14" max="16384" width="9.140625" style="18"/>
  </cols>
  <sheetData>
    <row r="1" spans="1:13" s="48" customFormat="1" ht="19.5" customHeight="1" x14ac:dyDescent="0.25">
      <c r="A1" s="48" t="s">
        <v>123</v>
      </c>
      <c r="B1" s="131"/>
      <c r="C1" s="131"/>
      <c r="D1" s="131"/>
      <c r="E1" s="131"/>
      <c r="F1" s="131"/>
      <c r="G1" s="131"/>
      <c r="H1" s="131"/>
      <c r="I1" s="131"/>
      <c r="K1" s="91"/>
      <c r="L1" s="103"/>
      <c r="M1" s="93"/>
    </row>
    <row r="2" spans="1:13" s="48" customFormat="1" ht="19.5" customHeight="1" x14ac:dyDescent="0.25">
      <c r="A2" s="48" t="s">
        <v>124</v>
      </c>
      <c r="B2" s="131"/>
      <c r="C2" s="131"/>
      <c r="D2" s="131"/>
      <c r="E2" s="131"/>
      <c r="F2" s="131"/>
      <c r="G2" s="131"/>
      <c r="H2" s="131"/>
      <c r="I2" s="131"/>
      <c r="K2" s="91"/>
      <c r="L2" s="103"/>
      <c r="M2" s="93"/>
    </row>
    <row r="3" spans="1:13" s="48" customFormat="1" ht="19.5" customHeight="1" x14ac:dyDescent="0.25">
      <c r="A3" s="48" t="s">
        <v>177</v>
      </c>
      <c r="B3" s="131"/>
      <c r="C3" s="131"/>
      <c r="D3" s="131"/>
      <c r="E3" s="131"/>
      <c r="F3" s="131"/>
      <c r="G3" s="131"/>
      <c r="H3" s="131"/>
      <c r="I3" s="131"/>
      <c r="K3" s="91"/>
      <c r="L3" s="103"/>
      <c r="M3" s="93"/>
    </row>
    <row r="4" spans="1:13" ht="15.75" customHeight="1" x14ac:dyDescent="0.3">
      <c r="A4" s="59"/>
      <c r="B4" s="132"/>
      <c r="C4" s="132"/>
      <c r="D4" s="132"/>
      <c r="E4" s="132"/>
      <c r="F4" s="132"/>
      <c r="G4" s="132"/>
      <c r="H4" s="132"/>
      <c r="I4" s="132"/>
    </row>
    <row r="5" spans="1:13" ht="15.75" customHeight="1" x14ac:dyDescent="0.3">
      <c r="B5" s="136" t="s">
        <v>75</v>
      </c>
      <c r="C5" s="136"/>
      <c r="D5" s="136"/>
      <c r="E5" s="136"/>
      <c r="F5" s="136" t="s">
        <v>74</v>
      </c>
      <c r="G5" s="136"/>
      <c r="H5" s="136"/>
    </row>
    <row r="6" spans="1:13" ht="53.25" customHeight="1" x14ac:dyDescent="0.3">
      <c r="B6" s="20" t="s">
        <v>73</v>
      </c>
      <c r="C6" s="20" t="s">
        <v>72</v>
      </c>
      <c r="D6" s="20" t="s">
        <v>71</v>
      </c>
      <c r="E6" s="20" t="s">
        <v>70</v>
      </c>
      <c r="F6" s="21" t="s">
        <v>69</v>
      </c>
      <c r="G6" s="21" t="s">
        <v>68</v>
      </c>
      <c r="H6" s="20" t="s">
        <v>67</v>
      </c>
      <c r="I6" s="21" t="s">
        <v>66</v>
      </c>
      <c r="J6" s="114"/>
      <c r="K6" s="92" t="s">
        <v>150</v>
      </c>
      <c r="L6" s="105" t="s">
        <v>151</v>
      </c>
    </row>
    <row r="7" spans="1:13" ht="15.75" customHeight="1" x14ac:dyDescent="0.3">
      <c r="J7" s="114"/>
    </row>
    <row r="8" spans="1:13" ht="15.75" customHeight="1" x14ac:dyDescent="0.3">
      <c r="A8" s="18" t="s">
        <v>65</v>
      </c>
      <c r="B8" s="5">
        <v>685927.12500239839</v>
      </c>
      <c r="C8" s="5">
        <v>195542.50091512845</v>
      </c>
      <c r="D8" s="5">
        <v>6450.3946563087811</v>
      </c>
      <c r="E8" s="5">
        <f>SUM(B8:D8)</f>
        <v>887920.0205738357</v>
      </c>
      <c r="F8" s="5">
        <v>63259.947832800783</v>
      </c>
      <c r="G8" s="5">
        <v>204378.7515933635</v>
      </c>
      <c r="H8" s="5">
        <f>SUM(F8:G8)</f>
        <v>267638.69942616427</v>
      </c>
      <c r="I8" s="5">
        <f>E8+H8</f>
        <v>1155558.72</v>
      </c>
      <c r="J8" s="114"/>
      <c r="K8" s="7">
        <v>1621026.46</v>
      </c>
      <c r="L8" s="104">
        <f>I8-K8</f>
        <v>-465467.74</v>
      </c>
      <c r="M8" s="94" t="s">
        <v>157</v>
      </c>
    </row>
    <row r="9" spans="1:13" ht="15.75" customHeight="1" x14ac:dyDescent="0.3">
      <c r="A9" s="18" t="s">
        <v>64</v>
      </c>
      <c r="B9" s="5">
        <v>25817.274750351338</v>
      </c>
      <c r="C9" s="5">
        <v>20878.335448220649</v>
      </c>
      <c r="D9" s="5">
        <v>34985.990140096961</v>
      </c>
      <c r="E9" s="5">
        <f t="shared" ref="E9:E13" si="0">SUM(B9:D9)</f>
        <v>81681.600338668941</v>
      </c>
      <c r="F9" s="5">
        <v>22733.011647063453</v>
      </c>
      <c r="G9" s="5">
        <v>46705.488014267597</v>
      </c>
      <c r="H9" s="5">
        <f t="shared" ref="H9:H36" si="1">SUM(F9:G9)</f>
        <v>69438.49966133105</v>
      </c>
      <c r="I9" s="5">
        <f t="shared" ref="I9:I35" si="2">E9+H9</f>
        <v>151120.09999999998</v>
      </c>
      <c r="J9" s="115"/>
      <c r="K9" s="7">
        <v>273273.24</v>
      </c>
      <c r="L9" s="104">
        <f t="shared" ref="L9:L36" si="3">I9-K9</f>
        <v>-122153.14000000001</v>
      </c>
      <c r="M9" s="94" t="s">
        <v>161</v>
      </c>
    </row>
    <row r="10" spans="1:13" ht="15.75" customHeight="1" x14ac:dyDescent="0.3">
      <c r="A10" s="18" t="s">
        <v>63</v>
      </c>
      <c r="B10" s="5">
        <v>33764.877039054023</v>
      </c>
      <c r="C10" s="5">
        <v>9665.793468079306</v>
      </c>
      <c r="D10" s="5">
        <v>575.46003031680323</v>
      </c>
      <c r="E10" s="5">
        <f t="shared" si="0"/>
        <v>44006.130537450132</v>
      </c>
      <c r="F10" s="5">
        <v>3197.4528445360697</v>
      </c>
      <c r="G10" s="5">
        <v>10109.206618013794</v>
      </c>
      <c r="H10" s="5">
        <f t="shared" si="1"/>
        <v>13306.659462549864</v>
      </c>
      <c r="I10" s="5">
        <f t="shared" si="2"/>
        <v>57312.789999999994</v>
      </c>
      <c r="J10" s="114"/>
      <c r="K10" s="7">
        <v>61674.38</v>
      </c>
      <c r="L10" s="104">
        <f t="shared" si="3"/>
        <v>-4361.5900000000038</v>
      </c>
    </row>
    <row r="11" spans="1:13" ht="15.75" customHeight="1" x14ac:dyDescent="0.3">
      <c r="A11" s="18" t="s">
        <v>62</v>
      </c>
      <c r="B11" s="5">
        <v>25963.17</v>
      </c>
      <c r="C11" s="5">
        <v>0</v>
      </c>
      <c r="D11" s="5">
        <v>0</v>
      </c>
      <c r="E11" s="5">
        <f t="shared" si="0"/>
        <v>25963.17</v>
      </c>
      <c r="F11" s="5">
        <v>0</v>
      </c>
      <c r="G11" s="5">
        <v>0</v>
      </c>
      <c r="H11" s="5">
        <f t="shared" si="1"/>
        <v>0</v>
      </c>
      <c r="I11" s="5">
        <f t="shared" si="2"/>
        <v>25963.17</v>
      </c>
      <c r="J11" s="114"/>
      <c r="K11" s="7">
        <v>49230.74</v>
      </c>
      <c r="L11" s="104">
        <f t="shared" si="3"/>
        <v>-23267.57</v>
      </c>
    </row>
    <row r="12" spans="1:13" ht="15.75" customHeight="1" x14ac:dyDescent="0.3">
      <c r="A12" s="18" t="s">
        <v>61</v>
      </c>
      <c r="B12" s="5">
        <v>0</v>
      </c>
      <c r="C12" s="5">
        <v>251702.79</v>
      </c>
      <c r="D12" s="5">
        <v>0</v>
      </c>
      <c r="E12" s="5">
        <f t="shared" si="0"/>
        <v>251702.79</v>
      </c>
      <c r="F12" s="5">
        <v>0</v>
      </c>
      <c r="G12" s="5">
        <v>0</v>
      </c>
      <c r="H12" s="5">
        <f t="shared" si="1"/>
        <v>0</v>
      </c>
      <c r="I12" s="5">
        <f t="shared" si="2"/>
        <v>251702.79</v>
      </c>
      <c r="J12" s="114"/>
      <c r="K12" s="7">
        <v>556668.76</v>
      </c>
      <c r="L12" s="104">
        <f t="shared" si="3"/>
        <v>-304965.96999999997</v>
      </c>
      <c r="M12" s="94" t="s">
        <v>163</v>
      </c>
    </row>
    <row r="13" spans="1:13" ht="15.75" customHeight="1" x14ac:dyDescent="0.3">
      <c r="A13" s="18" t="s">
        <v>129</v>
      </c>
      <c r="B13" s="5">
        <v>0</v>
      </c>
      <c r="C13" s="5">
        <v>13500</v>
      </c>
      <c r="D13" s="5">
        <v>0</v>
      </c>
      <c r="E13" s="5">
        <f t="shared" si="0"/>
        <v>13500</v>
      </c>
      <c r="F13" s="5">
        <v>0</v>
      </c>
      <c r="G13" s="5">
        <v>0</v>
      </c>
      <c r="H13" s="5">
        <f t="shared" si="1"/>
        <v>0</v>
      </c>
      <c r="I13" s="5">
        <f t="shared" si="2"/>
        <v>13500</v>
      </c>
      <c r="J13" s="114"/>
      <c r="K13" s="7">
        <v>14750</v>
      </c>
      <c r="L13" s="104">
        <f t="shared" si="3"/>
        <v>-1250</v>
      </c>
    </row>
    <row r="14" spans="1:13" ht="15.75" customHeight="1" x14ac:dyDescent="0.3">
      <c r="A14" s="18" t="s">
        <v>60</v>
      </c>
      <c r="B14" s="5">
        <v>9703.4854423527486</v>
      </c>
      <c r="C14" s="5">
        <v>903.81481200699022</v>
      </c>
      <c r="D14" s="5">
        <v>0.10030650580550805</v>
      </c>
      <c r="E14" s="5">
        <f t="shared" ref="E14:E34" si="4">SUM(B14:D14)</f>
        <v>10607.400560865544</v>
      </c>
      <c r="F14" s="5">
        <v>0.55733727003894484</v>
      </c>
      <c r="G14" s="5">
        <v>214.49210186441729</v>
      </c>
      <c r="H14" s="5">
        <f t="shared" si="1"/>
        <v>215.04943913445624</v>
      </c>
      <c r="I14" s="5">
        <f t="shared" si="2"/>
        <v>10822.45</v>
      </c>
      <c r="J14" s="114"/>
      <c r="K14" s="7">
        <v>207979.38</v>
      </c>
      <c r="L14" s="104">
        <f t="shared" si="3"/>
        <v>-197156.93</v>
      </c>
      <c r="M14" s="94" t="s">
        <v>162</v>
      </c>
    </row>
    <row r="15" spans="1:13" ht="15.75" customHeight="1" x14ac:dyDescent="0.3">
      <c r="A15" s="18" t="s">
        <v>59</v>
      </c>
      <c r="B15" s="5">
        <v>5734.5614050546183</v>
      </c>
      <c r="C15" s="5">
        <v>9937.3761826836926</v>
      </c>
      <c r="D15" s="5">
        <v>601.17548497986559</v>
      </c>
      <c r="E15" s="5">
        <f t="shared" si="4"/>
        <v>16273.113072718175</v>
      </c>
      <c r="F15" s="5">
        <v>4343.458535571116</v>
      </c>
      <c r="G15" s="82">
        <v>256492.7983917107</v>
      </c>
      <c r="H15" s="5">
        <f t="shared" si="1"/>
        <v>260836.25692728182</v>
      </c>
      <c r="I15" s="5">
        <f t="shared" si="2"/>
        <v>277109.37</v>
      </c>
      <c r="J15" s="114"/>
      <c r="K15" s="7">
        <v>218777.1</v>
      </c>
      <c r="L15" s="104">
        <f t="shared" si="3"/>
        <v>58332.26999999999</v>
      </c>
    </row>
    <row r="16" spans="1:13" ht="15.75" customHeight="1" x14ac:dyDescent="0.3">
      <c r="A16" s="18" t="s">
        <v>58</v>
      </c>
      <c r="B16" s="5">
        <v>16754.990000000002</v>
      </c>
      <c r="C16" s="5">
        <v>0</v>
      </c>
      <c r="D16" s="5">
        <v>714.99</v>
      </c>
      <c r="E16" s="5">
        <f t="shared" si="4"/>
        <v>17469.980000000003</v>
      </c>
      <c r="F16" s="5">
        <v>0</v>
      </c>
      <c r="G16" s="5">
        <v>235</v>
      </c>
      <c r="H16" s="5">
        <f t="shared" si="1"/>
        <v>235</v>
      </c>
      <c r="I16" s="5">
        <f t="shared" si="2"/>
        <v>17704.980000000003</v>
      </c>
      <c r="J16" s="114"/>
      <c r="K16" s="7">
        <v>14118.54</v>
      </c>
      <c r="L16" s="104">
        <f t="shared" si="3"/>
        <v>3586.4400000000023</v>
      </c>
      <c r="M16" s="94" t="s">
        <v>154</v>
      </c>
    </row>
    <row r="17" spans="1:13" ht="15.75" customHeight="1" x14ac:dyDescent="0.3">
      <c r="A17" s="18" t="s">
        <v>57</v>
      </c>
      <c r="B17" s="5">
        <v>4062.89</v>
      </c>
      <c r="C17" s="5">
        <v>2190.86</v>
      </c>
      <c r="D17" s="5">
        <v>0</v>
      </c>
      <c r="E17" s="5">
        <f t="shared" si="4"/>
        <v>6253.75</v>
      </c>
      <c r="F17" s="5">
        <v>0</v>
      </c>
      <c r="G17" s="5">
        <v>1772.9</v>
      </c>
      <c r="H17" s="5">
        <f t="shared" si="1"/>
        <v>1772.9</v>
      </c>
      <c r="I17" s="5">
        <f t="shared" si="2"/>
        <v>8026.65</v>
      </c>
      <c r="J17" s="114"/>
      <c r="K17" s="7">
        <v>5486.17</v>
      </c>
      <c r="L17" s="104">
        <f t="shared" si="3"/>
        <v>2540.4799999999996</v>
      </c>
    </row>
    <row r="18" spans="1:13" ht="15.75" customHeight="1" x14ac:dyDescent="0.3">
      <c r="A18" s="18" t="s">
        <v>56</v>
      </c>
      <c r="B18" s="5">
        <v>0</v>
      </c>
      <c r="C18" s="5">
        <v>0</v>
      </c>
      <c r="D18" s="5">
        <v>0</v>
      </c>
      <c r="E18" s="5">
        <f t="shared" si="4"/>
        <v>0</v>
      </c>
      <c r="F18" s="5">
        <v>0</v>
      </c>
      <c r="G18" s="5">
        <v>100</v>
      </c>
      <c r="H18" s="5">
        <f t="shared" si="1"/>
        <v>100</v>
      </c>
      <c r="I18" s="5">
        <f t="shared" si="2"/>
        <v>100</v>
      </c>
      <c r="J18" s="114"/>
      <c r="K18" s="7">
        <v>416.94</v>
      </c>
      <c r="L18" s="104">
        <f t="shared" si="3"/>
        <v>-316.94</v>
      </c>
    </row>
    <row r="19" spans="1:13" ht="15.75" customHeight="1" x14ac:dyDescent="0.3">
      <c r="A19" s="18" t="s">
        <v>55</v>
      </c>
      <c r="B19" s="5">
        <v>0</v>
      </c>
      <c r="C19" s="5">
        <v>103.34</v>
      </c>
      <c r="D19" s="5">
        <v>0</v>
      </c>
      <c r="E19" s="5">
        <f t="shared" si="4"/>
        <v>103.34</v>
      </c>
      <c r="F19" s="5">
        <v>0</v>
      </c>
      <c r="G19" s="5">
        <v>2035.71</v>
      </c>
      <c r="H19" s="5">
        <f t="shared" si="1"/>
        <v>2035.71</v>
      </c>
      <c r="I19" s="5">
        <f t="shared" si="2"/>
        <v>2139.0500000000002</v>
      </c>
      <c r="J19" s="114"/>
      <c r="K19" s="7">
        <v>651.98</v>
      </c>
      <c r="L19" s="104">
        <f t="shared" si="3"/>
        <v>1487.0700000000002</v>
      </c>
    </row>
    <row r="20" spans="1:13" ht="15.75" customHeight="1" x14ac:dyDescent="0.3">
      <c r="A20" s="18" t="s">
        <v>77</v>
      </c>
      <c r="B20" s="5">
        <v>498.46574320921405</v>
      </c>
      <c r="C20" s="5">
        <v>182.69463854999734</v>
      </c>
      <c r="D20" s="5">
        <v>2508.495428885089</v>
      </c>
      <c r="E20" s="5">
        <f t="shared" si="4"/>
        <v>3189.6558106443003</v>
      </c>
      <c r="F20" s="5">
        <v>47.203509927923044</v>
      </c>
      <c r="G20" s="5">
        <v>834.2406794277764</v>
      </c>
      <c r="H20" s="5">
        <f t="shared" si="1"/>
        <v>881.44418935569945</v>
      </c>
      <c r="I20" s="5">
        <f t="shared" si="2"/>
        <v>4071.1</v>
      </c>
      <c r="J20" s="114"/>
      <c r="K20" s="7">
        <v>4202.1400000000003</v>
      </c>
      <c r="L20" s="104">
        <f t="shared" si="3"/>
        <v>-131.04000000000042</v>
      </c>
    </row>
    <row r="21" spans="1:13" ht="15.75" customHeight="1" x14ac:dyDescent="0.3">
      <c r="A21" s="18" t="s">
        <v>122</v>
      </c>
      <c r="B21" s="5">
        <v>3689.07</v>
      </c>
      <c r="C21" s="5">
        <v>0</v>
      </c>
      <c r="D21" s="5">
        <v>2718.64</v>
      </c>
      <c r="E21" s="5">
        <f t="shared" si="4"/>
        <v>6407.71</v>
      </c>
      <c r="F21" s="5">
        <v>287.49</v>
      </c>
      <c r="G21" s="5">
        <v>30.55</v>
      </c>
      <c r="H21" s="5">
        <f t="shared" si="1"/>
        <v>318.04000000000002</v>
      </c>
      <c r="I21" s="5">
        <f t="shared" si="2"/>
        <v>6725.75</v>
      </c>
      <c r="J21" s="114"/>
      <c r="K21" s="7">
        <v>2101.37</v>
      </c>
      <c r="L21" s="104">
        <f t="shared" si="3"/>
        <v>4624.38</v>
      </c>
    </row>
    <row r="22" spans="1:13" ht="15.75" customHeight="1" x14ac:dyDescent="0.3">
      <c r="A22" s="18" t="s">
        <v>54</v>
      </c>
      <c r="B22" s="5">
        <v>3489.0357198083761</v>
      </c>
      <c r="C22" s="5">
        <v>648.36802507711377</v>
      </c>
      <c r="D22" s="5">
        <v>15.111240364093055</v>
      </c>
      <c r="E22" s="5">
        <f t="shared" si="4"/>
        <v>4152.5149852495824</v>
      </c>
      <c r="F22" s="5">
        <v>83.963222363224418</v>
      </c>
      <c r="G22" s="5">
        <v>694.46179238719242</v>
      </c>
      <c r="H22" s="5">
        <f t="shared" si="1"/>
        <v>778.42501475041684</v>
      </c>
      <c r="I22" s="5">
        <f t="shared" si="2"/>
        <v>4930.9399999999996</v>
      </c>
      <c r="J22" s="114"/>
      <c r="K22" s="7">
        <v>11044.02</v>
      </c>
      <c r="L22" s="104">
        <f t="shared" si="3"/>
        <v>-6113.0800000000008</v>
      </c>
      <c r="M22" s="94" t="s">
        <v>155</v>
      </c>
    </row>
    <row r="23" spans="1:13" ht="15.75" customHeight="1" x14ac:dyDescent="0.3">
      <c r="A23" s="18" t="s">
        <v>53</v>
      </c>
      <c r="B23" s="5">
        <v>14737.596025660572</v>
      </c>
      <c r="C23" s="5">
        <v>1256.1243248753174</v>
      </c>
      <c r="D23" s="5">
        <v>74.784273475487552</v>
      </c>
      <c r="E23" s="5">
        <f t="shared" si="4"/>
        <v>16068.504624011377</v>
      </c>
      <c r="F23" s="5">
        <v>1554.8370137860325</v>
      </c>
      <c r="G23" s="5">
        <v>1313.7483622025886</v>
      </c>
      <c r="H23" s="5">
        <f t="shared" si="1"/>
        <v>2868.5853759886213</v>
      </c>
      <c r="I23" s="5">
        <f t="shared" si="2"/>
        <v>18937.089999999997</v>
      </c>
      <c r="J23" s="114"/>
      <c r="K23" s="7">
        <v>16174.96</v>
      </c>
      <c r="L23" s="104">
        <f t="shared" si="3"/>
        <v>2762.1299999999974</v>
      </c>
    </row>
    <row r="24" spans="1:13" ht="15.75" customHeight="1" x14ac:dyDescent="0.3">
      <c r="A24" s="18" t="s">
        <v>52</v>
      </c>
      <c r="B24" s="5">
        <v>8331.4946426870883</v>
      </c>
      <c r="C24" s="5">
        <v>2385.0377539795941</v>
      </c>
      <c r="D24" s="5">
        <v>141.99495393155203</v>
      </c>
      <c r="E24" s="5">
        <f t="shared" si="4"/>
        <v>10858.527350598233</v>
      </c>
      <c r="F24" s="5">
        <v>788.97255315588143</v>
      </c>
      <c r="G24" s="5">
        <v>2494.4500962458847</v>
      </c>
      <c r="H24" s="5">
        <f t="shared" si="1"/>
        <v>3283.4226494017662</v>
      </c>
      <c r="I24" s="5">
        <f t="shared" si="2"/>
        <v>14141.949999999999</v>
      </c>
      <c r="J24" s="114"/>
      <c r="K24" s="7">
        <v>15680.51</v>
      </c>
      <c r="L24" s="104">
        <f t="shared" si="3"/>
        <v>-1538.5600000000013</v>
      </c>
    </row>
    <row r="25" spans="1:13" ht="15.75" customHeight="1" x14ac:dyDescent="0.3">
      <c r="A25" s="18" t="s">
        <v>51</v>
      </c>
      <c r="B25" s="5">
        <v>0</v>
      </c>
      <c r="C25" s="5">
        <v>0</v>
      </c>
      <c r="D25" s="5">
        <v>0</v>
      </c>
      <c r="E25" s="5">
        <f t="shared" si="4"/>
        <v>0</v>
      </c>
      <c r="F25" s="5">
        <v>0</v>
      </c>
      <c r="G25" s="5">
        <v>0</v>
      </c>
      <c r="H25" s="5">
        <f t="shared" si="1"/>
        <v>0</v>
      </c>
      <c r="I25" s="5">
        <f t="shared" si="2"/>
        <v>0</v>
      </c>
      <c r="J25" s="114"/>
      <c r="K25" s="7">
        <v>3035.14</v>
      </c>
      <c r="L25" s="104">
        <f t="shared" si="3"/>
        <v>-3035.14</v>
      </c>
    </row>
    <row r="26" spans="1:13" ht="15.75" customHeight="1" x14ac:dyDescent="0.3">
      <c r="A26" s="18" t="s">
        <v>50</v>
      </c>
      <c r="B26" s="5">
        <v>13794.705110128292</v>
      </c>
      <c r="C26" s="5">
        <v>3948.978413080989</v>
      </c>
      <c r="D26" s="5">
        <v>610.10529630254473</v>
      </c>
      <c r="E26" s="5">
        <f t="shared" si="4"/>
        <v>18353.788819511825</v>
      </c>
      <c r="F26" s="5">
        <v>1306.3254767046449</v>
      </c>
      <c r="G26" s="5">
        <v>4130.1357037835269</v>
      </c>
      <c r="H26" s="5">
        <f t="shared" si="1"/>
        <v>5436.4611804881715</v>
      </c>
      <c r="I26" s="5">
        <f t="shared" si="2"/>
        <v>23790.249999999996</v>
      </c>
      <c r="J26" s="114"/>
      <c r="K26" s="7">
        <v>19542.11</v>
      </c>
      <c r="L26" s="104">
        <f t="shared" si="3"/>
        <v>4248.1399999999958</v>
      </c>
    </row>
    <row r="27" spans="1:13" ht="15.75" customHeight="1" x14ac:dyDescent="0.3">
      <c r="A27" s="18" t="s">
        <v>49</v>
      </c>
      <c r="B27" s="5">
        <v>18869.854720012678</v>
      </c>
      <c r="C27" s="5">
        <v>4240.6910325146127</v>
      </c>
      <c r="D27" s="5">
        <v>85.121265546741654</v>
      </c>
      <c r="E27" s="5">
        <f t="shared" si="4"/>
        <v>23195.667018074033</v>
      </c>
      <c r="F27" s="5">
        <v>17772.962878938964</v>
      </c>
      <c r="G27" s="5">
        <v>22483.340102987</v>
      </c>
      <c r="H27" s="5">
        <f t="shared" si="1"/>
        <v>40256.302981925968</v>
      </c>
      <c r="I27" s="5">
        <f t="shared" si="2"/>
        <v>63451.97</v>
      </c>
      <c r="J27" s="114"/>
      <c r="K27" s="7">
        <v>56505.89</v>
      </c>
      <c r="L27" s="104">
        <f t="shared" si="3"/>
        <v>6946.0800000000017</v>
      </c>
    </row>
    <row r="28" spans="1:13" ht="15.75" customHeight="1" x14ac:dyDescent="0.3">
      <c r="A28" s="18" t="s">
        <v>48</v>
      </c>
      <c r="B28" s="5">
        <v>87.91924627216973</v>
      </c>
      <c r="C28" s="5">
        <v>1504.9049454179933</v>
      </c>
      <c r="D28" s="5">
        <v>1.2148232369778196</v>
      </c>
      <c r="E28" s="5">
        <f t="shared" si="4"/>
        <v>1594.0390149271407</v>
      </c>
      <c r="F28" s="5">
        <v>419.61997360380502</v>
      </c>
      <c r="G28" s="5">
        <v>8238.5510114690533</v>
      </c>
      <c r="H28" s="5">
        <f t="shared" si="1"/>
        <v>8658.1709850728585</v>
      </c>
      <c r="I28" s="5">
        <f t="shared" si="2"/>
        <v>10252.209999999999</v>
      </c>
      <c r="J28" s="114"/>
      <c r="K28" s="7">
        <v>4755.18</v>
      </c>
      <c r="L28" s="104">
        <f t="shared" si="3"/>
        <v>5497.0299999999988</v>
      </c>
    </row>
    <row r="29" spans="1:13" ht="15.75" customHeight="1" x14ac:dyDescent="0.3">
      <c r="A29" s="18" t="s">
        <v>47</v>
      </c>
      <c r="B29" s="5">
        <v>27016.813825270969</v>
      </c>
      <c r="C29" s="5">
        <v>7734.0409769173275</v>
      </c>
      <c r="D29" s="5">
        <v>460.45174353726702</v>
      </c>
      <c r="E29" s="5">
        <f t="shared" si="4"/>
        <v>35211.306545725565</v>
      </c>
      <c r="F29" s="5">
        <v>2558.4274486176027</v>
      </c>
      <c r="G29" s="5">
        <v>8088.8360056568317</v>
      </c>
      <c r="H29" s="5">
        <f t="shared" si="1"/>
        <v>10647.263454274434</v>
      </c>
      <c r="I29" s="5">
        <f t="shared" si="2"/>
        <v>45858.57</v>
      </c>
      <c r="J29" s="114"/>
      <c r="K29" s="7">
        <v>45469.4</v>
      </c>
      <c r="L29" s="104">
        <f t="shared" si="3"/>
        <v>389.16999999999825</v>
      </c>
    </row>
    <row r="30" spans="1:13" ht="15.75" customHeight="1" x14ac:dyDescent="0.3">
      <c r="A30" s="1" t="s">
        <v>146</v>
      </c>
      <c r="B30" s="5">
        <v>0</v>
      </c>
      <c r="C30" s="5">
        <v>0</v>
      </c>
      <c r="D30" s="5">
        <v>0</v>
      </c>
      <c r="E30" s="5"/>
      <c r="F30" s="5">
        <v>70</v>
      </c>
      <c r="G30" s="5">
        <v>0</v>
      </c>
      <c r="H30" s="5">
        <f t="shared" si="1"/>
        <v>70</v>
      </c>
      <c r="I30" s="5">
        <f t="shared" si="2"/>
        <v>70</v>
      </c>
      <c r="J30" s="114"/>
      <c r="K30" s="7">
        <v>70</v>
      </c>
      <c r="L30" s="104">
        <f t="shared" si="3"/>
        <v>0</v>
      </c>
    </row>
    <row r="31" spans="1:13" ht="15.75" customHeight="1" x14ac:dyDescent="0.3">
      <c r="A31" s="18" t="s">
        <v>46</v>
      </c>
      <c r="B31" s="5">
        <v>6766.8978075785872</v>
      </c>
      <c r="C31" s="5">
        <v>1937.144226884049</v>
      </c>
      <c r="D31" s="5">
        <v>115.32928767949636</v>
      </c>
      <c r="E31" s="5">
        <f t="shared" si="4"/>
        <v>8819.3713221421331</v>
      </c>
      <c r="F31" s="5">
        <v>640.8089867616244</v>
      </c>
      <c r="G31" s="5">
        <v>2026.0096910962432</v>
      </c>
      <c r="H31" s="5">
        <f t="shared" si="1"/>
        <v>2666.8186778578674</v>
      </c>
      <c r="I31" s="5">
        <f t="shared" si="2"/>
        <v>11486.19</v>
      </c>
      <c r="J31" s="114"/>
      <c r="K31" s="7">
        <v>19782.2</v>
      </c>
      <c r="L31" s="104">
        <f t="shared" si="3"/>
        <v>-8296.01</v>
      </c>
    </row>
    <row r="32" spans="1:13" ht="15.75" customHeight="1" x14ac:dyDescent="0.3">
      <c r="A32" s="18" t="s">
        <v>45</v>
      </c>
      <c r="B32" s="5">
        <v>563.75350312227999</v>
      </c>
      <c r="C32" s="5">
        <v>161.38441498790147</v>
      </c>
      <c r="D32" s="5">
        <v>9.6081382918325087</v>
      </c>
      <c r="E32" s="5">
        <f t="shared" si="4"/>
        <v>734.74605640201389</v>
      </c>
      <c r="F32" s="5">
        <v>53.386104148715418</v>
      </c>
      <c r="G32" s="5">
        <v>2710.7878394492705</v>
      </c>
      <c r="H32" s="5">
        <f t="shared" si="1"/>
        <v>2764.1739435979857</v>
      </c>
      <c r="I32" s="5">
        <f t="shared" si="2"/>
        <v>3498.9199999999996</v>
      </c>
      <c r="J32" s="114"/>
      <c r="K32" s="7">
        <v>5409.01</v>
      </c>
      <c r="L32" s="104">
        <f t="shared" si="3"/>
        <v>-1910.0900000000006</v>
      </c>
    </row>
    <row r="33" spans="1:13" ht="15.75" customHeight="1" x14ac:dyDescent="0.3">
      <c r="A33" s="18" t="s">
        <v>44</v>
      </c>
      <c r="B33" s="9">
        <v>1200.5654352900328</v>
      </c>
      <c r="C33" s="9">
        <v>343.68309794245602</v>
      </c>
      <c r="D33" s="9">
        <v>20.461422708283742</v>
      </c>
      <c r="E33" s="5">
        <f t="shared" si="4"/>
        <v>1564.7099559407725</v>
      </c>
      <c r="F33" s="9">
        <v>287.26066624112747</v>
      </c>
      <c r="G33" s="9">
        <v>19379.479377818097</v>
      </c>
      <c r="H33" s="5">
        <f t="shared" si="1"/>
        <v>19666.740044059225</v>
      </c>
      <c r="I33" s="5">
        <f t="shared" si="2"/>
        <v>21231.449999999997</v>
      </c>
      <c r="J33" s="114"/>
      <c r="K33" s="7">
        <v>27968.3</v>
      </c>
      <c r="L33" s="104">
        <f t="shared" si="3"/>
        <v>-6736.8500000000022</v>
      </c>
    </row>
    <row r="34" spans="1:13" ht="15.75" customHeight="1" x14ac:dyDescent="0.3">
      <c r="A34" s="18" t="s">
        <v>76</v>
      </c>
      <c r="B34" s="7">
        <v>17306.770377221423</v>
      </c>
      <c r="C34" s="7">
        <v>23846.453599908327</v>
      </c>
      <c r="D34" s="7">
        <v>50.39422949327777</v>
      </c>
      <c r="E34" s="5">
        <f t="shared" si="4"/>
        <v>41203.618206623025</v>
      </c>
      <c r="F34" s="7">
        <v>280.00758341596236</v>
      </c>
      <c r="G34" s="7">
        <v>47850.614209961008</v>
      </c>
      <c r="H34" s="5">
        <f t="shared" si="1"/>
        <v>48130.621793376973</v>
      </c>
      <c r="I34" s="5">
        <f t="shared" si="2"/>
        <v>89334.239999999991</v>
      </c>
      <c r="J34" s="114"/>
      <c r="K34" s="7">
        <v>6776.53</v>
      </c>
      <c r="L34" s="104">
        <f t="shared" si="3"/>
        <v>82557.709999999992</v>
      </c>
    </row>
    <row r="35" spans="1:13" ht="15.75" customHeight="1" x14ac:dyDescent="0.3">
      <c r="A35" s="1" t="s">
        <v>138</v>
      </c>
      <c r="B35" s="7">
        <v>0</v>
      </c>
      <c r="C35" s="7">
        <v>0</v>
      </c>
      <c r="D35" s="7">
        <v>0</v>
      </c>
      <c r="E35" s="5"/>
      <c r="F35" s="7">
        <v>0</v>
      </c>
      <c r="G35" s="7">
        <v>750</v>
      </c>
      <c r="H35" s="5">
        <f t="shared" si="1"/>
        <v>750</v>
      </c>
      <c r="I35" s="5">
        <f t="shared" si="2"/>
        <v>750</v>
      </c>
      <c r="J35" s="114"/>
      <c r="K35" s="7">
        <v>16270.66</v>
      </c>
      <c r="L35" s="104">
        <f t="shared" si="3"/>
        <v>-15520.66</v>
      </c>
    </row>
    <row r="36" spans="1:13" ht="18" customHeight="1" x14ac:dyDescent="0.3">
      <c r="A36" s="18" t="s">
        <v>125</v>
      </c>
      <c r="B36" s="119">
        <v>30196.714204527114</v>
      </c>
      <c r="C36" s="119">
        <v>8644.3437237452199</v>
      </c>
      <c r="D36" s="119">
        <v>514.64727833914412</v>
      </c>
      <c r="E36" s="27">
        <f>SUM(B36:D36)</f>
        <v>39355.705206611477</v>
      </c>
      <c r="F36" s="119">
        <v>2859.5563850930293</v>
      </c>
      <c r="G36" s="119">
        <v>9040.8984082954939</v>
      </c>
      <c r="H36" s="27">
        <f t="shared" si="1"/>
        <v>11900.454793388522</v>
      </c>
      <c r="I36" s="27">
        <f t="shared" ref="I36" si="5">E36+H36</f>
        <v>51256.160000000003</v>
      </c>
      <c r="J36" s="120"/>
      <c r="K36" s="119">
        <v>52427.66</v>
      </c>
      <c r="L36" s="121">
        <f t="shared" si="3"/>
        <v>-1171.5</v>
      </c>
    </row>
    <row r="37" spans="1:13" s="48" customFormat="1" ht="15" x14ac:dyDescent="0.25">
      <c r="A37" s="48" t="s">
        <v>79</v>
      </c>
      <c r="B37" s="122">
        <f t="shared" ref="B37:I37" si="6">SUM(B8:B36)</f>
        <v>954278.0299999998</v>
      </c>
      <c r="C37" s="122">
        <f t="shared" si="6"/>
        <v>561258.65999999992</v>
      </c>
      <c r="D37" s="122">
        <f t="shared" si="6"/>
        <v>50654.47</v>
      </c>
      <c r="E37" s="122">
        <f t="shared" si="6"/>
        <v>1566191.1600000004</v>
      </c>
      <c r="F37" s="122">
        <f t="shared" si="6"/>
        <v>122545.25</v>
      </c>
      <c r="G37" s="122">
        <f t="shared" si="6"/>
        <v>652110.44999999995</v>
      </c>
      <c r="H37" s="122">
        <f t="shared" si="6"/>
        <v>774655.7</v>
      </c>
      <c r="I37" s="122">
        <f t="shared" si="6"/>
        <v>2340846.8599999994</v>
      </c>
      <c r="J37" s="123"/>
      <c r="K37" s="124">
        <f>SUM(K8:K36)</f>
        <v>3331268.77</v>
      </c>
      <c r="L37" s="122">
        <f>SUM(L8:L36)</f>
        <v>-990421.91000000027</v>
      </c>
      <c r="M37" s="93"/>
    </row>
    <row r="38" spans="1:13" s="48" customFormat="1" ht="15" x14ac:dyDescent="0.25">
      <c r="B38" s="49"/>
      <c r="C38" s="49"/>
      <c r="D38" s="49"/>
      <c r="E38" s="49"/>
      <c r="F38" s="49"/>
      <c r="G38" s="49"/>
      <c r="H38" s="49"/>
      <c r="I38" s="49"/>
      <c r="J38" s="116"/>
      <c r="K38" s="62"/>
      <c r="L38" s="49"/>
      <c r="M38" s="93"/>
    </row>
    <row r="39" spans="1:13" s="48" customFormat="1" ht="15" x14ac:dyDescent="0.25">
      <c r="A39" s="48" t="s">
        <v>188</v>
      </c>
      <c r="B39" s="111"/>
      <c r="C39" s="111"/>
      <c r="D39" s="111"/>
      <c r="E39" s="111"/>
      <c r="F39" s="111"/>
      <c r="G39" s="111">
        <v>-310004</v>
      </c>
      <c r="H39" s="111"/>
      <c r="I39" s="111"/>
      <c r="J39" s="117"/>
      <c r="K39" s="112"/>
      <c r="L39" s="111"/>
      <c r="M39" s="93"/>
    </row>
    <row r="40" spans="1:13" s="48" customFormat="1" ht="15" x14ac:dyDescent="0.25">
      <c r="B40" s="49"/>
      <c r="C40" s="49"/>
      <c r="D40" s="49"/>
      <c r="E40" s="49"/>
      <c r="F40" s="49"/>
      <c r="G40" s="49"/>
      <c r="H40" s="49"/>
      <c r="I40" s="49"/>
      <c r="J40" s="116"/>
      <c r="K40" s="118"/>
      <c r="L40" s="49"/>
      <c r="M40" s="93"/>
    </row>
    <row r="41" spans="1:13" x14ac:dyDescent="0.3">
      <c r="A41" s="48" t="s">
        <v>189</v>
      </c>
      <c r="B41" s="49">
        <f>B37+B39</f>
        <v>954278.0299999998</v>
      </c>
      <c r="C41" s="49">
        <f t="shared" ref="C41:G41" si="7">C37+C39</f>
        <v>561258.65999999992</v>
      </c>
      <c r="D41" s="49">
        <f t="shared" si="7"/>
        <v>50654.47</v>
      </c>
      <c r="E41" s="49">
        <f>SUM(B41:D41)</f>
        <v>1566191.1599999997</v>
      </c>
      <c r="F41" s="49">
        <f t="shared" si="7"/>
        <v>122545.25</v>
      </c>
      <c r="G41" s="49">
        <f t="shared" si="7"/>
        <v>342106.44999999995</v>
      </c>
      <c r="H41" s="49">
        <f>SUM(F41:G41)</f>
        <v>464651.69999999995</v>
      </c>
      <c r="I41" s="49">
        <f>H41+E41</f>
        <v>2030842.8599999996</v>
      </c>
      <c r="J41" s="114"/>
    </row>
    <row r="42" spans="1:13" x14ac:dyDescent="0.3">
      <c r="A42" s="48"/>
      <c r="B42" s="49"/>
      <c r="C42" s="49"/>
      <c r="D42" s="49"/>
      <c r="E42" s="49"/>
      <c r="F42" s="49"/>
      <c r="G42" s="49"/>
      <c r="H42" s="49"/>
      <c r="I42" s="49"/>
      <c r="J42" s="114"/>
    </row>
    <row r="43" spans="1:13" x14ac:dyDescent="0.3">
      <c r="A43" s="48" t="s">
        <v>127</v>
      </c>
      <c r="B43" s="43">
        <f>B41/$I$41</f>
        <v>0.4698925991743152</v>
      </c>
      <c r="C43" s="43">
        <f t="shared" ref="C43:I43" si="8">C41/$I$41</f>
        <v>0.2763673502537759</v>
      </c>
      <c r="D43" s="43">
        <f t="shared" si="8"/>
        <v>2.4942584676393924E-2</v>
      </c>
      <c r="E43" s="43">
        <f t="shared" si="8"/>
        <v>0.77120253410448503</v>
      </c>
      <c r="F43" s="43">
        <f t="shared" si="8"/>
        <v>6.0342064082693242E-2</v>
      </c>
      <c r="G43" s="43">
        <f t="shared" si="8"/>
        <v>0.1684554018128217</v>
      </c>
      <c r="H43" s="43">
        <f t="shared" si="8"/>
        <v>0.22879746589551495</v>
      </c>
      <c r="I43" s="43">
        <f t="shared" si="8"/>
        <v>1</v>
      </c>
      <c r="J43" s="114"/>
    </row>
    <row r="45" spans="1:13" x14ac:dyDescent="0.3">
      <c r="G45" s="96"/>
      <c r="H45" s="96"/>
    </row>
  </sheetData>
  <mergeCells count="6">
    <mergeCell ref="B1:I1"/>
    <mergeCell ref="B2:I2"/>
    <mergeCell ref="B3:I3"/>
    <mergeCell ref="B4:I4"/>
    <mergeCell ref="B5:E5"/>
    <mergeCell ref="F5:H5"/>
  </mergeCells>
  <pageMargins left="0.25" right="0" top="0.25" bottom="0.25" header="0.5" footer="0.5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A0E2-CF94-4711-9B20-18128CF255F0}">
  <dimension ref="A1:P44"/>
  <sheetViews>
    <sheetView topLeftCell="A7" zoomScale="90" zoomScaleNormal="90" workbookViewId="0">
      <selection activeCell="M27" sqref="M27"/>
    </sheetView>
  </sheetViews>
  <sheetFormatPr defaultRowHeight="16.5" x14ac:dyDescent="0.3"/>
  <cols>
    <col min="1" max="1" width="29" style="1" customWidth="1"/>
    <col min="2" max="2" width="16.28515625" style="1" customWidth="1"/>
    <col min="3" max="6" width="14.5703125" style="1" customWidth="1"/>
    <col min="7" max="7" width="14.42578125" style="1" customWidth="1"/>
    <col min="8" max="8" width="3.5703125" style="1" customWidth="1"/>
    <col min="9" max="9" width="9.140625" style="78"/>
    <col min="10" max="10" width="12.7109375" style="76" bestFit="1" customWidth="1"/>
    <col min="11" max="11" width="9.140625" style="1"/>
    <col min="12" max="12" width="13.140625" style="1" customWidth="1"/>
    <col min="13" max="15" width="9.140625" style="1"/>
    <col min="16" max="16" width="27.5703125" style="76" customWidth="1"/>
    <col min="17" max="16384" width="9.140625" style="1"/>
  </cols>
  <sheetData>
    <row r="1" spans="1:12" ht="19.899999999999999" customHeight="1" x14ac:dyDescent="0.3">
      <c r="A1" s="127" t="s">
        <v>0</v>
      </c>
      <c r="B1" s="127"/>
      <c r="C1" s="127"/>
      <c r="D1" s="127"/>
      <c r="E1" s="127"/>
      <c r="F1" s="127"/>
      <c r="G1" s="127"/>
    </row>
    <row r="2" spans="1:12" ht="19.899999999999999" customHeight="1" x14ac:dyDescent="0.3">
      <c r="A2" s="127" t="s">
        <v>84</v>
      </c>
      <c r="B2" s="127"/>
      <c r="C2" s="127"/>
      <c r="D2" s="127"/>
      <c r="E2" s="127"/>
      <c r="F2" s="127"/>
      <c r="G2" s="127"/>
    </row>
    <row r="3" spans="1:12" ht="21" customHeight="1" x14ac:dyDescent="0.3">
      <c r="A3" s="137">
        <v>45716</v>
      </c>
      <c r="B3" s="137"/>
      <c r="C3" s="137"/>
      <c r="D3" s="137"/>
      <c r="E3" s="137"/>
      <c r="F3" s="137"/>
      <c r="G3" s="137"/>
    </row>
    <row r="4" spans="1:12" ht="50.25" customHeight="1" x14ac:dyDescent="0.3">
      <c r="A4" s="129"/>
      <c r="B4" s="129"/>
      <c r="C4" s="26" t="s">
        <v>160</v>
      </c>
      <c r="D4" s="22" t="s">
        <v>85</v>
      </c>
      <c r="E4" s="22" t="s">
        <v>120</v>
      </c>
      <c r="F4" s="26" t="s">
        <v>190</v>
      </c>
      <c r="G4" s="26" t="s">
        <v>178</v>
      </c>
    </row>
    <row r="5" spans="1:12" ht="15.75" customHeight="1" x14ac:dyDescent="0.3">
      <c r="A5" s="125" t="s">
        <v>86</v>
      </c>
      <c r="B5" s="125"/>
      <c r="C5" s="83">
        <v>791576</v>
      </c>
      <c r="D5" s="83">
        <f>2500000+5000</f>
        <v>2505000</v>
      </c>
      <c r="E5" s="83"/>
      <c r="F5" s="83"/>
      <c r="G5" s="5">
        <f>C5+D5+E5+F5</f>
        <v>3296576</v>
      </c>
      <c r="L5" s="47"/>
    </row>
    <row r="6" spans="1:12" ht="15.75" customHeight="1" x14ac:dyDescent="0.3">
      <c r="A6" s="125" t="s">
        <v>191</v>
      </c>
      <c r="B6" s="125"/>
      <c r="C6" s="83"/>
      <c r="D6" s="83"/>
      <c r="E6" s="83"/>
      <c r="F6" s="83">
        <v>35844</v>
      </c>
      <c r="G6" s="5">
        <f t="shared" ref="G6:G25" si="0">C6+D6+E6+F6</f>
        <v>35844</v>
      </c>
      <c r="L6" s="47"/>
    </row>
    <row r="7" spans="1:12" ht="15.75" customHeight="1" x14ac:dyDescent="0.3">
      <c r="A7" s="125" t="s">
        <v>87</v>
      </c>
      <c r="B7" s="125"/>
      <c r="C7" s="83">
        <v>6350</v>
      </c>
      <c r="D7" s="83"/>
      <c r="E7" s="83"/>
      <c r="F7" s="83"/>
      <c r="G7" s="5">
        <f t="shared" si="0"/>
        <v>6350</v>
      </c>
      <c r="L7" s="47"/>
    </row>
    <row r="8" spans="1:12" ht="15.75" customHeight="1" x14ac:dyDescent="0.3">
      <c r="A8" s="3"/>
      <c r="B8" s="3"/>
      <c r="C8" s="83"/>
      <c r="D8" s="83"/>
      <c r="E8" s="83"/>
      <c r="F8" s="83"/>
      <c r="G8" s="5">
        <f t="shared" si="0"/>
        <v>0</v>
      </c>
      <c r="L8" s="47"/>
    </row>
    <row r="9" spans="1:12" ht="15.75" customHeight="1" x14ac:dyDescent="0.3">
      <c r="A9" s="10" t="s">
        <v>111</v>
      </c>
      <c r="B9" s="3"/>
      <c r="C9" s="83"/>
      <c r="D9" s="83"/>
      <c r="E9" s="83"/>
      <c r="F9" s="83"/>
      <c r="G9" s="5">
        <f t="shared" si="0"/>
        <v>0</v>
      </c>
      <c r="L9" s="47"/>
    </row>
    <row r="10" spans="1:12" ht="15.75" customHeight="1" x14ac:dyDescent="0.3">
      <c r="A10" s="3" t="s">
        <v>128</v>
      </c>
      <c r="B10" s="3"/>
      <c r="C10" s="83"/>
      <c r="D10" s="7">
        <v>119767</v>
      </c>
      <c r="E10" s="83">
        <f>-12325</f>
        <v>-12325</v>
      </c>
      <c r="F10" s="83"/>
      <c r="G10" s="5">
        <f t="shared" si="0"/>
        <v>107442</v>
      </c>
      <c r="L10" s="47"/>
    </row>
    <row r="11" spans="1:12" ht="15.75" customHeight="1" x14ac:dyDescent="0.3">
      <c r="A11" s="125" t="s">
        <v>88</v>
      </c>
      <c r="B11" s="125"/>
      <c r="C11" s="83">
        <v>8000</v>
      </c>
      <c r="D11" s="83">
        <v>447947</v>
      </c>
      <c r="E11" s="83">
        <f>-399568+348</f>
        <v>-399220</v>
      </c>
      <c r="F11" s="83"/>
      <c r="G11" s="5">
        <f t="shared" si="0"/>
        <v>56727</v>
      </c>
      <c r="L11" s="47"/>
    </row>
    <row r="12" spans="1:12" ht="15.75" customHeight="1" x14ac:dyDescent="0.3">
      <c r="A12" s="125" t="s">
        <v>89</v>
      </c>
      <c r="B12" s="125"/>
      <c r="C12" s="83">
        <v>1728211</v>
      </c>
      <c r="D12" s="83"/>
      <c r="E12" s="83"/>
      <c r="F12" s="83"/>
      <c r="G12" s="5">
        <f t="shared" si="0"/>
        <v>1728211</v>
      </c>
      <c r="L12" s="47"/>
    </row>
    <row r="13" spans="1:12" ht="15.75" customHeight="1" x14ac:dyDescent="0.3">
      <c r="A13" s="125" t="s">
        <v>90</v>
      </c>
      <c r="B13" s="125"/>
      <c r="C13" s="83">
        <f>22530.53+175</f>
        <v>22705.53</v>
      </c>
      <c r="D13" s="83"/>
      <c r="E13" s="83">
        <v>-872</v>
      </c>
      <c r="F13" s="83"/>
      <c r="G13" s="5">
        <f t="shared" si="0"/>
        <v>21833.53</v>
      </c>
      <c r="L13" s="47"/>
    </row>
    <row r="14" spans="1:12" ht="15.75" customHeight="1" x14ac:dyDescent="0.3">
      <c r="A14" s="125" t="s">
        <v>91</v>
      </c>
      <c r="B14" s="125"/>
      <c r="C14" s="83">
        <v>6723</v>
      </c>
      <c r="D14" s="84"/>
      <c r="E14" s="83"/>
      <c r="F14" s="83"/>
      <c r="G14" s="5">
        <f t="shared" si="0"/>
        <v>6723</v>
      </c>
      <c r="L14" s="47"/>
    </row>
    <row r="15" spans="1:12" ht="15.75" customHeight="1" x14ac:dyDescent="0.3">
      <c r="A15" s="3" t="s">
        <v>130</v>
      </c>
      <c r="B15" s="3"/>
      <c r="C15" s="83">
        <v>0</v>
      </c>
      <c r="D15" s="83">
        <v>245221</v>
      </c>
      <c r="E15" s="83">
        <v>-306421</v>
      </c>
      <c r="F15" s="83"/>
      <c r="G15" s="5">
        <f t="shared" si="0"/>
        <v>-61200</v>
      </c>
      <c r="L15" s="47"/>
    </row>
    <row r="16" spans="1:12" ht="15.75" customHeight="1" x14ac:dyDescent="0.3">
      <c r="A16" s="125" t="s">
        <v>92</v>
      </c>
      <c r="B16" s="125"/>
      <c r="C16" s="83">
        <v>119909</v>
      </c>
      <c r="D16" s="83">
        <v>52500</v>
      </c>
      <c r="E16" s="83"/>
      <c r="F16" s="83"/>
      <c r="G16" s="5">
        <f t="shared" si="0"/>
        <v>172409</v>
      </c>
      <c r="L16" s="47"/>
    </row>
    <row r="17" spans="1:12" ht="15.75" customHeight="1" x14ac:dyDescent="0.3">
      <c r="A17" s="125" t="s">
        <v>93</v>
      </c>
      <c r="B17" s="125"/>
      <c r="C17" s="83">
        <v>0</v>
      </c>
      <c r="D17" s="83">
        <v>90950</v>
      </c>
      <c r="E17" s="83">
        <v>-77591</v>
      </c>
      <c r="F17" s="83"/>
      <c r="G17" s="5">
        <f t="shared" si="0"/>
        <v>13359</v>
      </c>
      <c r="L17" s="47"/>
    </row>
    <row r="18" spans="1:12" ht="15.75" customHeight="1" x14ac:dyDescent="0.3">
      <c r="A18" s="3" t="s">
        <v>126</v>
      </c>
      <c r="B18" s="3"/>
      <c r="C18" s="83">
        <v>0</v>
      </c>
      <c r="D18" s="83">
        <v>25000</v>
      </c>
      <c r="E18" s="83">
        <v>-20743</v>
      </c>
      <c r="F18" s="83"/>
      <c r="G18" s="5">
        <f t="shared" si="0"/>
        <v>4257</v>
      </c>
      <c r="L18" s="47"/>
    </row>
    <row r="19" spans="1:12" ht="15.75" customHeight="1" x14ac:dyDescent="0.3">
      <c r="A19" s="125" t="s">
        <v>94</v>
      </c>
      <c r="B19" s="125"/>
      <c r="C19" s="83">
        <v>42898.33</v>
      </c>
      <c r="D19" s="83"/>
      <c r="E19" s="83"/>
      <c r="F19" s="83"/>
      <c r="G19" s="5">
        <f t="shared" si="0"/>
        <v>42898.33</v>
      </c>
      <c r="L19" s="47"/>
    </row>
    <row r="20" spans="1:12" ht="15.75" customHeight="1" x14ac:dyDescent="0.3">
      <c r="A20" s="125" t="s">
        <v>95</v>
      </c>
      <c r="B20" s="125"/>
      <c r="C20" s="83">
        <v>5529</v>
      </c>
      <c r="D20" s="83"/>
      <c r="E20" s="83"/>
      <c r="F20" s="83"/>
      <c r="G20" s="5">
        <f t="shared" si="0"/>
        <v>5529</v>
      </c>
      <c r="L20" s="47"/>
    </row>
    <row r="21" spans="1:12" ht="15.75" customHeight="1" x14ac:dyDescent="0.3">
      <c r="A21" s="125" t="s">
        <v>96</v>
      </c>
      <c r="B21" s="125"/>
      <c r="C21" s="83">
        <v>11467</v>
      </c>
      <c r="D21" s="83">
        <v>2100</v>
      </c>
      <c r="E21" s="83">
        <v>-1500</v>
      </c>
      <c r="F21" s="83"/>
      <c r="G21" s="5">
        <f t="shared" si="0"/>
        <v>12067</v>
      </c>
      <c r="L21" s="47"/>
    </row>
    <row r="22" spans="1:12" ht="15.75" customHeight="1" x14ac:dyDescent="0.3">
      <c r="A22" s="125" t="s">
        <v>97</v>
      </c>
      <c r="B22" s="125"/>
      <c r="C22" s="83">
        <v>15912</v>
      </c>
      <c r="D22" s="83"/>
      <c r="E22" s="83">
        <v>-14908</v>
      </c>
      <c r="F22" s="83"/>
      <c r="G22" s="5">
        <f t="shared" si="0"/>
        <v>1004</v>
      </c>
      <c r="L22" s="47"/>
    </row>
    <row r="23" spans="1:12" ht="15.75" customHeight="1" x14ac:dyDescent="0.3">
      <c r="A23" s="125" t="s">
        <v>98</v>
      </c>
      <c r="B23" s="125"/>
      <c r="C23" s="83">
        <v>22545</v>
      </c>
      <c r="D23" s="83">
        <v>1000</v>
      </c>
      <c r="E23" s="83">
        <v>-8528</v>
      </c>
      <c r="F23" s="83"/>
      <c r="G23" s="5">
        <f t="shared" si="0"/>
        <v>15017</v>
      </c>
      <c r="L23" s="47"/>
    </row>
    <row r="24" spans="1:12" ht="15.75" customHeight="1" x14ac:dyDescent="0.3">
      <c r="A24" s="125" t="s">
        <v>99</v>
      </c>
      <c r="B24" s="125"/>
      <c r="C24" s="83">
        <v>4000</v>
      </c>
      <c r="D24" s="83"/>
      <c r="E24" s="83">
        <v>-1000</v>
      </c>
      <c r="F24" s="83"/>
      <c r="G24" s="5">
        <f t="shared" si="0"/>
        <v>3000</v>
      </c>
      <c r="L24" s="47"/>
    </row>
    <row r="25" spans="1:12" ht="15.75" customHeight="1" x14ac:dyDescent="0.3">
      <c r="A25" s="3" t="s">
        <v>142</v>
      </c>
      <c r="B25" s="3"/>
      <c r="C25" s="83">
        <v>18344</v>
      </c>
      <c r="D25" s="83">
        <v>44059</v>
      </c>
      <c r="E25" s="83"/>
      <c r="F25" s="83">
        <v>-35844</v>
      </c>
      <c r="G25" s="5">
        <f t="shared" si="0"/>
        <v>26559</v>
      </c>
      <c r="L25" s="47"/>
    </row>
    <row r="26" spans="1:12" ht="15.75" customHeight="1" x14ac:dyDescent="0.3">
      <c r="A26" s="3"/>
      <c r="B26" s="3"/>
      <c r="C26" s="83"/>
      <c r="D26" s="83"/>
      <c r="E26" s="83"/>
      <c r="F26" s="83"/>
      <c r="G26" s="5"/>
      <c r="L26" s="47"/>
    </row>
    <row r="27" spans="1:12" ht="15.75" customHeight="1" x14ac:dyDescent="0.3">
      <c r="A27" s="10" t="s">
        <v>72</v>
      </c>
      <c r="B27" s="3"/>
      <c r="C27" s="83"/>
      <c r="D27" s="83"/>
      <c r="E27" s="83"/>
      <c r="F27" s="83"/>
      <c r="G27" s="5"/>
      <c r="L27" s="47"/>
    </row>
    <row r="28" spans="1:12" ht="15.75" customHeight="1" x14ac:dyDescent="0.3">
      <c r="A28" s="3" t="s">
        <v>132</v>
      </c>
      <c r="B28" s="3"/>
      <c r="C28" s="83">
        <v>0</v>
      </c>
      <c r="D28" s="83">
        <v>6033</v>
      </c>
      <c r="E28" s="83">
        <v>-400</v>
      </c>
      <c r="F28" s="83"/>
      <c r="G28" s="5">
        <f t="shared" ref="G28:G39" si="1">C28+D28+E28</f>
        <v>5633</v>
      </c>
      <c r="L28" s="47"/>
    </row>
    <row r="29" spans="1:12" ht="15.75" customHeight="1" x14ac:dyDescent="0.3">
      <c r="A29" s="125" t="s">
        <v>110</v>
      </c>
      <c r="B29" s="125"/>
      <c r="C29" s="83">
        <v>39214</v>
      </c>
      <c r="D29" s="83">
        <v>13754</v>
      </c>
      <c r="E29" s="83">
        <f>-52905-63</f>
        <v>-52968</v>
      </c>
      <c r="F29" s="83"/>
      <c r="G29" s="5">
        <f t="shared" si="1"/>
        <v>0</v>
      </c>
      <c r="L29" s="47"/>
    </row>
    <row r="30" spans="1:12" ht="15.75" customHeight="1" x14ac:dyDescent="0.3">
      <c r="A30" s="125" t="s">
        <v>100</v>
      </c>
      <c r="B30" s="125"/>
      <c r="C30" s="83">
        <v>27873</v>
      </c>
      <c r="D30" s="83">
        <v>114318</v>
      </c>
      <c r="E30" s="83">
        <v>-138008</v>
      </c>
      <c r="F30" s="83"/>
      <c r="G30" s="5">
        <f t="shared" si="1"/>
        <v>4183</v>
      </c>
      <c r="L30" s="47"/>
    </row>
    <row r="31" spans="1:12" ht="15.75" customHeight="1" x14ac:dyDescent="0.3">
      <c r="A31" s="125" t="s">
        <v>101</v>
      </c>
      <c r="B31" s="125"/>
      <c r="C31" s="83">
        <v>13540</v>
      </c>
      <c r="D31" s="83">
        <v>8453</v>
      </c>
      <c r="E31" s="83">
        <v>-18069</v>
      </c>
      <c r="F31" s="83"/>
      <c r="G31" s="5">
        <f t="shared" si="1"/>
        <v>3924</v>
      </c>
      <c r="L31" s="47"/>
    </row>
    <row r="32" spans="1:12" ht="15.75" customHeight="1" x14ac:dyDescent="0.3">
      <c r="A32" s="125" t="s">
        <v>102</v>
      </c>
      <c r="B32" s="125"/>
      <c r="C32" s="83">
        <v>10608.099999999999</v>
      </c>
      <c r="D32" s="83">
        <v>22835</v>
      </c>
      <c r="E32" s="83">
        <v>-17046</v>
      </c>
      <c r="F32" s="83"/>
      <c r="G32" s="5">
        <f t="shared" si="1"/>
        <v>16397.099999999999</v>
      </c>
      <c r="L32" s="47"/>
    </row>
    <row r="33" spans="1:16" ht="15.75" customHeight="1" x14ac:dyDescent="0.3">
      <c r="A33" s="125" t="s">
        <v>103</v>
      </c>
      <c r="B33" s="125"/>
      <c r="C33" s="83">
        <v>16075</v>
      </c>
      <c r="D33" s="83"/>
      <c r="E33" s="83">
        <v>-16075</v>
      </c>
      <c r="F33" s="83"/>
      <c r="G33" s="5">
        <f t="shared" si="1"/>
        <v>0</v>
      </c>
      <c r="L33" s="47"/>
    </row>
    <row r="34" spans="1:16" ht="15.75" customHeight="1" x14ac:dyDescent="0.3">
      <c r="A34" s="125" t="s">
        <v>104</v>
      </c>
      <c r="B34" s="125"/>
      <c r="C34" s="83">
        <v>15000</v>
      </c>
      <c r="D34" s="83"/>
      <c r="E34" s="83"/>
      <c r="F34" s="83"/>
      <c r="G34" s="5">
        <f t="shared" si="1"/>
        <v>15000</v>
      </c>
      <c r="L34" s="47"/>
    </row>
    <row r="35" spans="1:16" ht="15.75" customHeight="1" x14ac:dyDescent="0.3">
      <c r="A35" s="125" t="s">
        <v>105</v>
      </c>
      <c r="B35" s="125"/>
      <c r="C35" s="83">
        <v>8275.36</v>
      </c>
      <c r="D35" s="83">
        <v>4500</v>
      </c>
      <c r="E35" s="83">
        <v>-6000</v>
      </c>
      <c r="F35" s="83"/>
      <c r="G35" s="5">
        <f t="shared" si="1"/>
        <v>6775.3600000000006</v>
      </c>
      <c r="L35" s="47"/>
    </row>
    <row r="36" spans="1:16" ht="15.75" customHeight="1" x14ac:dyDescent="0.3">
      <c r="A36" s="125" t="s">
        <v>106</v>
      </c>
      <c r="B36" s="125"/>
      <c r="C36" s="83">
        <v>9051</v>
      </c>
      <c r="D36" s="83">
        <v>4965</v>
      </c>
      <c r="E36" s="83"/>
      <c r="F36" s="83"/>
      <c r="G36" s="5">
        <f t="shared" si="1"/>
        <v>14016</v>
      </c>
      <c r="L36" s="47"/>
    </row>
    <row r="37" spans="1:16" ht="15.75" customHeight="1" x14ac:dyDescent="0.3">
      <c r="A37" s="125" t="s">
        <v>107</v>
      </c>
      <c r="B37" s="125"/>
      <c r="C37" s="83">
        <v>0</v>
      </c>
      <c r="D37" s="83">
        <v>156896</v>
      </c>
      <c r="E37" s="83">
        <v>-143877</v>
      </c>
      <c r="F37" s="83"/>
      <c r="G37" s="5">
        <f t="shared" si="1"/>
        <v>13019</v>
      </c>
      <c r="L37" s="47"/>
    </row>
    <row r="38" spans="1:16" ht="15.75" customHeight="1" x14ac:dyDescent="0.3">
      <c r="A38" s="125" t="s">
        <v>108</v>
      </c>
      <c r="B38" s="125"/>
      <c r="C38" s="83">
        <v>1127</v>
      </c>
      <c r="D38" s="83"/>
      <c r="E38" s="83"/>
      <c r="F38" s="83"/>
      <c r="G38" s="5">
        <f t="shared" si="1"/>
        <v>1127</v>
      </c>
      <c r="L38" s="47"/>
    </row>
    <row r="39" spans="1:16" ht="15.75" customHeight="1" x14ac:dyDescent="0.3">
      <c r="A39" s="125" t="s">
        <v>109</v>
      </c>
      <c r="B39" s="125"/>
      <c r="C39" s="85">
        <v>20984</v>
      </c>
      <c r="D39" s="85"/>
      <c r="E39" s="85">
        <v>-17394</v>
      </c>
      <c r="F39" s="113"/>
      <c r="G39" s="27">
        <f t="shared" si="1"/>
        <v>3590</v>
      </c>
      <c r="L39" s="47"/>
    </row>
    <row r="40" spans="1:16" s="23" customFormat="1" ht="15.75" customHeight="1" x14ac:dyDescent="0.3">
      <c r="A40" s="127" t="s">
        <v>79</v>
      </c>
      <c r="B40" s="127"/>
      <c r="C40" s="16">
        <f>SUM(C5:C39)</f>
        <v>2965917.32</v>
      </c>
      <c r="D40" s="16">
        <f>SUM(D5:D39)</f>
        <v>3865298</v>
      </c>
      <c r="E40" s="16">
        <f>SUM(E5:E39)</f>
        <v>-1252945</v>
      </c>
      <c r="F40" s="16">
        <f t="shared" ref="F40" si="2">SUM(F5:F39)</f>
        <v>0</v>
      </c>
      <c r="G40" s="16">
        <f>SUM(G5:G39)+1</f>
        <v>5578271.3200000003</v>
      </c>
      <c r="I40" s="80"/>
      <c r="J40" s="56"/>
      <c r="L40" s="47"/>
      <c r="P40" s="56"/>
    </row>
    <row r="41" spans="1:16" ht="13.35" customHeight="1" x14ac:dyDescent="0.3">
      <c r="G41" s="47"/>
    </row>
    <row r="42" spans="1:16" x14ac:dyDescent="0.3">
      <c r="D42" s="47"/>
      <c r="E42" s="53"/>
      <c r="F42" s="53"/>
      <c r="G42" s="47"/>
    </row>
    <row r="43" spans="1:16" x14ac:dyDescent="0.3">
      <c r="D43" s="47"/>
      <c r="G43" s="53"/>
    </row>
    <row r="44" spans="1:16" x14ac:dyDescent="0.3">
      <c r="C44" s="47"/>
      <c r="D44" s="47"/>
      <c r="E44" s="47"/>
      <c r="F44" s="47"/>
      <c r="G44" s="47"/>
    </row>
  </sheetData>
  <mergeCells count="31">
    <mergeCell ref="A37:B37"/>
    <mergeCell ref="A38:B38"/>
    <mergeCell ref="A39:B39"/>
    <mergeCell ref="A40:B40"/>
    <mergeCell ref="A32:B32"/>
    <mergeCell ref="A33:B33"/>
    <mergeCell ref="A35:B35"/>
    <mergeCell ref="A36:B36"/>
    <mergeCell ref="A34:B34"/>
    <mergeCell ref="A12:B12"/>
    <mergeCell ref="A13:B13"/>
    <mergeCell ref="A14:B14"/>
    <mergeCell ref="A16:B16"/>
    <mergeCell ref="A17:B17"/>
    <mergeCell ref="A24:B24"/>
    <mergeCell ref="A29:B29"/>
    <mergeCell ref="A30:B30"/>
    <mergeCell ref="A31:B31"/>
    <mergeCell ref="A19:B19"/>
    <mergeCell ref="A20:B20"/>
    <mergeCell ref="A21:B21"/>
    <mergeCell ref="A22:B22"/>
    <mergeCell ref="A23:B23"/>
    <mergeCell ref="A5:B5"/>
    <mergeCell ref="A7:B7"/>
    <mergeCell ref="A11:B11"/>
    <mergeCell ref="A1:G1"/>
    <mergeCell ref="A2:G2"/>
    <mergeCell ref="A3:G3"/>
    <mergeCell ref="A4:B4"/>
    <mergeCell ref="A6:B6"/>
  </mergeCells>
  <pageMargins left="0.25" right="0.25" top="0.25" bottom="0.25" header="0.5" footer="0.5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8FC5-4006-4601-BDF4-13A0F687642C}">
  <dimension ref="A1:N76"/>
  <sheetViews>
    <sheetView topLeftCell="A41" zoomScaleNormal="100" workbookViewId="0">
      <selection activeCell="M58" sqref="M58"/>
    </sheetView>
  </sheetViews>
  <sheetFormatPr defaultRowHeight="16.5" x14ac:dyDescent="0.3"/>
  <cols>
    <col min="1" max="1" width="22.140625" style="1" customWidth="1"/>
    <col min="2" max="2" width="35.85546875" style="1" customWidth="1"/>
    <col min="3" max="4" width="14.5703125" style="1" customWidth="1"/>
    <col min="5" max="5" width="13.28515625" style="1" customWidth="1"/>
    <col min="6" max="6" width="1.28515625" style="1" customWidth="1"/>
    <col min="7" max="7" width="15" style="1" customWidth="1"/>
    <col min="8" max="8" width="19.5703125" style="24" customWidth="1"/>
    <col min="9" max="9" width="12.7109375" style="1" bestFit="1" customWidth="1"/>
    <col min="10" max="10" width="10.5703125" style="1" bestFit="1" customWidth="1"/>
    <col min="11" max="12" width="9.140625" style="1"/>
    <col min="13" max="13" width="7.28515625" style="1" customWidth="1"/>
    <col min="14" max="14" width="9.140625" style="1" hidden="1" customWidth="1"/>
    <col min="15" max="16384" width="9.140625" style="1"/>
  </cols>
  <sheetData>
    <row r="1" spans="1:9" ht="19.899999999999999" customHeight="1" x14ac:dyDescent="0.3">
      <c r="A1" s="127" t="s">
        <v>0</v>
      </c>
      <c r="B1" s="127"/>
      <c r="C1" s="127"/>
      <c r="D1" s="127"/>
      <c r="E1" s="127"/>
      <c r="F1" s="10"/>
      <c r="G1" s="10"/>
    </row>
    <row r="2" spans="1:9" ht="19.899999999999999" customHeight="1" x14ac:dyDescent="0.3">
      <c r="A2" s="127" t="s">
        <v>83</v>
      </c>
      <c r="B2" s="127"/>
      <c r="C2" s="127"/>
      <c r="D2" s="127"/>
      <c r="E2" s="127"/>
      <c r="F2" s="10"/>
      <c r="G2" s="10"/>
    </row>
    <row r="3" spans="1:9" ht="16.899999999999999" customHeight="1" x14ac:dyDescent="0.3">
      <c r="A3" s="127" t="s">
        <v>177</v>
      </c>
      <c r="B3" s="127"/>
      <c r="C3" s="127"/>
      <c r="D3" s="127"/>
      <c r="E3" s="127"/>
      <c r="F3" s="10"/>
      <c r="G3" s="10"/>
      <c r="H3" s="50"/>
    </row>
    <row r="4" spans="1:9" ht="15.75" customHeight="1" x14ac:dyDescent="0.3">
      <c r="A4" s="128"/>
      <c r="B4" s="128"/>
      <c r="C4" s="128"/>
      <c r="D4" s="128"/>
      <c r="E4" s="128"/>
      <c r="F4" s="73"/>
      <c r="G4" s="73"/>
    </row>
    <row r="5" spans="1:9" ht="57.75" customHeight="1" x14ac:dyDescent="0.3">
      <c r="A5" s="129"/>
      <c r="B5" s="129"/>
      <c r="C5" s="26" t="s">
        <v>179</v>
      </c>
      <c r="D5" s="26" t="s">
        <v>180</v>
      </c>
      <c r="E5" s="26" t="s">
        <v>151</v>
      </c>
      <c r="F5" s="74"/>
      <c r="G5" s="97" t="s">
        <v>152</v>
      </c>
      <c r="H5" s="50"/>
    </row>
    <row r="6" spans="1:9" ht="15.75" customHeight="1" x14ac:dyDescent="0.3">
      <c r="A6" s="125" t="s">
        <v>41</v>
      </c>
      <c r="B6" s="125"/>
    </row>
    <row r="7" spans="1:9" ht="15.75" customHeight="1" x14ac:dyDescent="0.3">
      <c r="A7" s="125" t="s">
        <v>82</v>
      </c>
      <c r="B7" s="125"/>
      <c r="C7" s="5">
        <f>3533133.34-C53</f>
        <v>1033133.3399999999</v>
      </c>
      <c r="D7" s="5">
        <v>972326</v>
      </c>
      <c r="E7" s="5">
        <f>C7-D7</f>
        <v>60807.339999999851</v>
      </c>
      <c r="F7" s="5"/>
      <c r="G7" s="5">
        <v>1446069</v>
      </c>
      <c r="H7" s="50"/>
    </row>
    <row r="8" spans="1:9" ht="15.75" customHeight="1" x14ac:dyDescent="0.3">
      <c r="A8" s="125" t="s">
        <v>81</v>
      </c>
      <c r="B8" s="125"/>
      <c r="C8" s="5">
        <v>8452.81</v>
      </c>
      <c r="D8" s="5">
        <v>9640.4599999999991</v>
      </c>
      <c r="E8" s="5">
        <f t="shared" ref="E8:E12" si="0">C8-D8</f>
        <v>-1187.6499999999996</v>
      </c>
      <c r="F8" s="5"/>
      <c r="G8" s="5">
        <v>13380.46</v>
      </c>
      <c r="H8" s="50"/>
    </row>
    <row r="9" spans="1:9" ht="15.75" customHeight="1" x14ac:dyDescent="0.3">
      <c r="A9" s="125" t="s">
        <v>80</v>
      </c>
      <c r="B9" s="125"/>
      <c r="C9" s="5">
        <v>1354333.03</v>
      </c>
      <c r="D9" s="5">
        <f>540311.54+543622</f>
        <v>1083933.54</v>
      </c>
      <c r="E9" s="5">
        <f t="shared" si="0"/>
        <v>270399.49</v>
      </c>
      <c r="F9" s="5"/>
      <c r="G9" s="5">
        <v>1412899.54</v>
      </c>
      <c r="H9" s="50"/>
    </row>
    <row r="10" spans="1:9" ht="15.75" customHeight="1" x14ac:dyDescent="0.3">
      <c r="A10" s="125" t="s">
        <v>174</v>
      </c>
      <c r="B10" s="125"/>
      <c r="C10" s="5">
        <v>183104.11</v>
      </c>
      <c r="D10" s="5">
        <f>154396+13000</f>
        <v>167396</v>
      </c>
      <c r="E10" s="5">
        <f t="shared" si="0"/>
        <v>15708.109999999986</v>
      </c>
      <c r="F10" s="5"/>
      <c r="G10" s="5">
        <v>260651</v>
      </c>
      <c r="H10" s="50"/>
    </row>
    <row r="11" spans="1:9" ht="15.75" customHeight="1" x14ac:dyDescent="0.3">
      <c r="A11" s="3" t="s">
        <v>137</v>
      </c>
      <c r="B11" s="3"/>
      <c r="C11" s="5">
        <f>126148.41-C56</f>
        <v>92888.11</v>
      </c>
      <c r="D11" s="5">
        <v>58000</v>
      </c>
      <c r="E11" s="5">
        <f t="shared" si="0"/>
        <v>34888.11</v>
      </c>
      <c r="F11" s="5"/>
      <c r="G11" s="5">
        <v>58000</v>
      </c>
      <c r="H11" s="50"/>
    </row>
    <row r="12" spans="1:9" ht="15.75" customHeight="1" x14ac:dyDescent="0.3">
      <c r="A12" s="126" t="s">
        <v>148</v>
      </c>
      <c r="B12" s="126"/>
      <c r="C12" s="82">
        <v>74294</v>
      </c>
      <c r="D12" s="5">
        <v>49000</v>
      </c>
      <c r="E12" s="5">
        <f t="shared" si="0"/>
        <v>25294</v>
      </c>
      <c r="F12" s="5"/>
      <c r="G12" s="5">
        <v>84000</v>
      </c>
      <c r="H12" s="50"/>
    </row>
    <row r="13" spans="1:9" ht="15.75" customHeight="1" x14ac:dyDescent="0.3">
      <c r="A13" s="125" t="s">
        <v>79</v>
      </c>
      <c r="B13" s="125"/>
      <c r="C13" s="8">
        <f>SUM(C7:C12)</f>
        <v>2746205.3999999994</v>
      </c>
      <c r="D13" s="8">
        <f>SUM(D7:D12)</f>
        <v>2340296</v>
      </c>
      <c r="E13" s="8">
        <f>SUM(E7:E12)</f>
        <v>405909.39999999979</v>
      </c>
      <c r="F13" s="9"/>
      <c r="G13" s="46">
        <f>SUM(G7:G12)</f>
        <v>3275000</v>
      </c>
      <c r="H13" s="50"/>
      <c r="I13" s="47"/>
    </row>
    <row r="14" spans="1:9" ht="15.75" customHeight="1" x14ac:dyDescent="0.3">
      <c r="C14" s="7"/>
      <c r="D14" s="7"/>
      <c r="E14" s="7"/>
      <c r="F14" s="7"/>
      <c r="G14" s="7"/>
    </row>
    <row r="15" spans="1:9" ht="15.75" customHeight="1" x14ac:dyDescent="0.3">
      <c r="A15" s="125" t="s">
        <v>34</v>
      </c>
      <c r="B15" s="125"/>
      <c r="C15" s="7"/>
      <c r="D15" s="7"/>
      <c r="E15" s="7"/>
      <c r="F15" s="7"/>
      <c r="G15" s="7"/>
    </row>
    <row r="16" spans="1:9" ht="15.75" customHeight="1" x14ac:dyDescent="0.3">
      <c r="A16" s="125" t="s">
        <v>141</v>
      </c>
      <c r="B16" s="125"/>
      <c r="C16" s="81">
        <v>1155558.72</v>
      </c>
      <c r="D16" s="81">
        <v>1383001.32</v>
      </c>
      <c r="E16" s="5">
        <f>C16-D16</f>
        <v>-227442.60000000009</v>
      </c>
      <c r="F16" s="5"/>
      <c r="G16" s="5">
        <v>2072713</v>
      </c>
      <c r="H16" s="24" t="s">
        <v>133</v>
      </c>
    </row>
    <row r="17" spans="1:13" ht="15.75" customHeight="1" x14ac:dyDescent="0.3">
      <c r="A17" s="125" t="s">
        <v>64</v>
      </c>
      <c r="B17" s="125"/>
      <c r="C17" s="81">
        <f>151120.1-33260</f>
        <v>117860.1</v>
      </c>
      <c r="D17" s="81">
        <v>147609.32</v>
      </c>
      <c r="E17" s="5">
        <f t="shared" ref="E17:E45" si="1">C17-D17</f>
        <v>-29749.22</v>
      </c>
      <c r="F17" s="5"/>
      <c r="G17" s="5">
        <v>239691.5</v>
      </c>
    </row>
    <row r="18" spans="1:13" ht="15.75" customHeight="1" x14ac:dyDescent="0.3">
      <c r="A18" s="125" t="s">
        <v>63</v>
      </c>
      <c r="B18" s="125"/>
      <c r="C18" s="81">
        <v>57312.79</v>
      </c>
      <c r="D18" s="81">
        <v>74010.8</v>
      </c>
      <c r="E18" s="5">
        <f t="shared" si="1"/>
        <v>-16698.010000000002</v>
      </c>
      <c r="F18" s="5"/>
      <c r="G18" s="5">
        <v>101395.8</v>
      </c>
    </row>
    <row r="19" spans="1:13" ht="15.75" customHeight="1" x14ac:dyDescent="0.3">
      <c r="A19" s="125" t="s">
        <v>62</v>
      </c>
      <c r="B19" s="125"/>
      <c r="C19" s="81">
        <v>25963.17</v>
      </c>
      <c r="D19" s="81">
        <v>0</v>
      </c>
      <c r="E19" s="5">
        <f t="shared" si="1"/>
        <v>25963.17</v>
      </c>
      <c r="F19" s="5"/>
      <c r="G19" s="5">
        <v>149700</v>
      </c>
      <c r="H19" s="24" t="s">
        <v>170</v>
      </c>
    </row>
    <row r="20" spans="1:13" ht="15.75" customHeight="1" x14ac:dyDescent="0.3">
      <c r="A20" s="125" t="s">
        <v>61</v>
      </c>
      <c r="B20" s="125"/>
      <c r="C20" s="81">
        <v>251702.79</v>
      </c>
      <c r="D20" s="81">
        <v>163700</v>
      </c>
      <c r="E20" s="5">
        <f t="shared" si="1"/>
        <v>88002.790000000008</v>
      </c>
      <c r="F20" s="5"/>
      <c r="G20" s="5">
        <v>168700</v>
      </c>
      <c r="H20" s="24" t="s">
        <v>169</v>
      </c>
    </row>
    <row r="21" spans="1:13" ht="15.75" customHeight="1" x14ac:dyDescent="0.3">
      <c r="A21" s="3" t="s">
        <v>131</v>
      </c>
      <c r="B21" s="3"/>
      <c r="C21" s="81">
        <v>13500</v>
      </c>
      <c r="D21" s="81">
        <v>14750</v>
      </c>
      <c r="E21" s="5">
        <f t="shared" si="1"/>
        <v>-1250</v>
      </c>
      <c r="F21" s="5"/>
      <c r="G21" s="5">
        <v>16750</v>
      </c>
    </row>
    <row r="22" spans="1:13" ht="15.75" customHeight="1" x14ac:dyDescent="0.3">
      <c r="A22" s="125" t="s">
        <v>60</v>
      </c>
      <c r="B22" s="125"/>
      <c r="C22" s="81">
        <v>10822</v>
      </c>
      <c r="D22" s="81">
        <v>33920.75</v>
      </c>
      <c r="E22" s="5">
        <f t="shared" si="1"/>
        <v>-23098.75</v>
      </c>
      <c r="F22" s="5"/>
      <c r="G22" s="5">
        <v>131423.75</v>
      </c>
    </row>
    <row r="23" spans="1:13" ht="15.75" customHeight="1" x14ac:dyDescent="0.3">
      <c r="A23" s="125" t="s">
        <v>59</v>
      </c>
      <c r="B23" s="125"/>
      <c r="C23" s="81">
        <v>277109.37</v>
      </c>
      <c r="D23" s="81">
        <v>237976.72</v>
      </c>
      <c r="E23" s="5">
        <f t="shared" si="1"/>
        <v>39132.649999999994</v>
      </c>
      <c r="F23" s="5"/>
      <c r="G23" s="5">
        <v>278819.81</v>
      </c>
    </row>
    <row r="24" spans="1:13" ht="15.75" customHeight="1" x14ac:dyDescent="0.3">
      <c r="A24" s="125" t="s">
        <v>58</v>
      </c>
      <c r="B24" s="125"/>
      <c r="C24" s="81">
        <v>17704.98</v>
      </c>
      <c r="D24" s="81">
        <v>16666</v>
      </c>
      <c r="E24" s="5">
        <f t="shared" si="1"/>
        <v>1038.9799999999996</v>
      </c>
      <c r="F24" s="5"/>
      <c r="G24" s="5">
        <v>24806</v>
      </c>
    </row>
    <row r="25" spans="1:13" ht="15.75" customHeight="1" x14ac:dyDescent="0.3">
      <c r="A25" s="125" t="s">
        <v>78</v>
      </c>
      <c r="B25" s="125"/>
      <c r="C25" s="81">
        <v>0</v>
      </c>
      <c r="D25" s="81">
        <v>0</v>
      </c>
      <c r="E25" s="5">
        <f t="shared" si="1"/>
        <v>0</v>
      </c>
      <c r="F25" s="5"/>
      <c r="G25" s="5">
        <v>2750</v>
      </c>
    </row>
    <row r="26" spans="1:13" ht="15.75" customHeight="1" x14ac:dyDescent="0.3">
      <c r="A26" s="125" t="s">
        <v>57</v>
      </c>
      <c r="B26" s="125"/>
      <c r="C26" s="81">
        <v>8026.65</v>
      </c>
      <c r="D26" s="81">
        <v>5486</v>
      </c>
      <c r="E26" s="5">
        <f t="shared" si="1"/>
        <v>2540.6499999999996</v>
      </c>
      <c r="F26" s="5"/>
      <c r="G26" s="5">
        <v>11994</v>
      </c>
      <c r="H26" s="24" t="s">
        <v>156</v>
      </c>
      <c r="M26" s="47"/>
    </row>
    <row r="27" spans="1:13" ht="15.75" customHeight="1" x14ac:dyDescent="0.3">
      <c r="A27" s="125" t="s">
        <v>56</v>
      </c>
      <c r="B27" s="125"/>
      <c r="C27" s="81">
        <v>100</v>
      </c>
      <c r="D27" s="81">
        <v>417</v>
      </c>
      <c r="E27" s="5">
        <f t="shared" si="1"/>
        <v>-317</v>
      </c>
      <c r="F27" s="5"/>
      <c r="G27" s="5">
        <v>2629</v>
      </c>
    </row>
    <row r="28" spans="1:13" ht="15.75" customHeight="1" x14ac:dyDescent="0.3">
      <c r="A28" s="125" t="s">
        <v>55</v>
      </c>
      <c r="B28" s="125"/>
      <c r="C28" s="81">
        <v>2142.98</v>
      </c>
      <c r="D28" s="81">
        <v>652</v>
      </c>
      <c r="E28" s="5">
        <f t="shared" si="1"/>
        <v>1490.98</v>
      </c>
      <c r="F28" s="5"/>
      <c r="G28" s="5">
        <v>1800</v>
      </c>
    </row>
    <row r="29" spans="1:13" ht="15.75" customHeight="1" x14ac:dyDescent="0.3">
      <c r="A29" s="125" t="s">
        <v>77</v>
      </c>
      <c r="B29" s="125"/>
      <c r="C29" s="81">
        <v>4071.1</v>
      </c>
      <c r="D29" s="81">
        <v>6702</v>
      </c>
      <c r="E29" s="5">
        <f t="shared" si="1"/>
        <v>-2630.9</v>
      </c>
      <c r="F29" s="5"/>
      <c r="G29" s="5">
        <v>11206</v>
      </c>
    </row>
    <row r="30" spans="1:13" ht="15.75" customHeight="1" x14ac:dyDescent="0.3">
      <c r="A30" s="3" t="s">
        <v>122</v>
      </c>
      <c r="B30" s="3"/>
      <c r="C30" s="81">
        <v>6725.75</v>
      </c>
      <c r="D30" s="81">
        <v>3017.27</v>
      </c>
      <c r="E30" s="5">
        <f t="shared" si="1"/>
        <v>3708.48</v>
      </c>
      <c r="F30" s="5"/>
      <c r="G30" s="5">
        <v>4017.27</v>
      </c>
    </row>
    <row r="31" spans="1:13" ht="15.75" customHeight="1" x14ac:dyDescent="0.3">
      <c r="A31" s="125" t="s">
        <v>54</v>
      </c>
      <c r="B31" s="125"/>
      <c r="C31" s="81">
        <v>4930.9399999999996</v>
      </c>
      <c r="D31" s="81">
        <v>11034</v>
      </c>
      <c r="E31" s="5">
        <f t="shared" si="1"/>
        <v>-6103.06</v>
      </c>
      <c r="F31" s="5"/>
      <c r="G31" s="5">
        <v>21309</v>
      </c>
    </row>
    <row r="32" spans="1:13" ht="15.75" customHeight="1" x14ac:dyDescent="0.3">
      <c r="A32" s="125" t="s">
        <v>53</v>
      </c>
      <c r="B32" s="125"/>
      <c r="C32" s="81">
        <v>18937.09</v>
      </c>
      <c r="D32" s="81">
        <v>12405</v>
      </c>
      <c r="E32" s="5">
        <f t="shared" si="1"/>
        <v>6532.09</v>
      </c>
      <c r="F32" s="5"/>
      <c r="G32" s="5">
        <v>18405</v>
      </c>
      <c r="H32" s="24" t="s">
        <v>171</v>
      </c>
    </row>
    <row r="33" spans="1:10" ht="15.75" customHeight="1" x14ac:dyDescent="0.3">
      <c r="A33" s="125" t="s">
        <v>52</v>
      </c>
      <c r="B33" s="125"/>
      <c r="C33" s="81">
        <v>14141.95</v>
      </c>
      <c r="D33" s="81">
        <v>18200</v>
      </c>
      <c r="E33" s="5">
        <f t="shared" si="1"/>
        <v>-4058.0499999999993</v>
      </c>
      <c r="F33" s="5"/>
      <c r="G33" s="5">
        <v>27300</v>
      </c>
    </row>
    <row r="34" spans="1:10" ht="15.75" customHeight="1" x14ac:dyDescent="0.3">
      <c r="A34" s="125" t="s">
        <v>51</v>
      </c>
      <c r="B34" s="125"/>
      <c r="C34" s="81">
        <v>0</v>
      </c>
      <c r="D34" s="81">
        <v>2000</v>
      </c>
      <c r="E34" s="5">
        <f t="shared" si="1"/>
        <v>-2000</v>
      </c>
      <c r="F34" s="5"/>
      <c r="G34" s="5">
        <v>2000</v>
      </c>
    </row>
    <row r="35" spans="1:10" ht="15.75" customHeight="1" x14ac:dyDescent="0.3">
      <c r="A35" s="125" t="s">
        <v>50</v>
      </c>
      <c r="B35" s="125"/>
      <c r="C35" s="81">
        <v>23790.25</v>
      </c>
      <c r="D35" s="81">
        <v>22928.639999999999</v>
      </c>
      <c r="E35" s="5">
        <f t="shared" si="1"/>
        <v>861.61000000000058</v>
      </c>
      <c r="F35" s="5"/>
      <c r="G35" s="5">
        <v>33958</v>
      </c>
    </row>
    <row r="36" spans="1:10" ht="15.75" customHeight="1" x14ac:dyDescent="0.3">
      <c r="A36" s="125" t="s">
        <v>49</v>
      </c>
      <c r="B36" s="125"/>
      <c r="C36" s="81">
        <v>63451.97</v>
      </c>
      <c r="D36" s="81">
        <v>61350</v>
      </c>
      <c r="E36" s="5">
        <f t="shared" si="1"/>
        <v>2101.9700000000012</v>
      </c>
      <c r="F36" s="5"/>
      <c r="G36" s="5">
        <v>72033</v>
      </c>
    </row>
    <row r="37" spans="1:10" ht="15.75" customHeight="1" x14ac:dyDescent="0.3">
      <c r="A37" s="125" t="s">
        <v>48</v>
      </c>
      <c r="B37" s="125"/>
      <c r="C37" s="81">
        <v>10252.209999999999</v>
      </c>
      <c r="D37" s="81">
        <f>4936+7583</f>
        <v>12519</v>
      </c>
      <c r="E37" s="5">
        <f t="shared" si="1"/>
        <v>-2266.7900000000009</v>
      </c>
      <c r="F37" s="5"/>
      <c r="G37" s="5">
        <v>13807</v>
      </c>
    </row>
    <row r="38" spans="1:10" ht="15.75" customHeight="1" x14ac:dyDescent="0.3">
      <c r="A38" s="125" t="s">
        <v>47</v>
      </c>
      <c r="B38" s="125"/>
      <c r="C38" s="81">
        <v>45858.57</v>
      </c>
      <c r="D38" s="81">
        <v>54470</v>
      </c>
      <c r="E38" s="5">
        <f t="shared" si="1"/>
        <v>-8611.43</v>
      </c>
      <c r="F38" s="5"/>
      <c r="G38" s="5">
        <v>54470</v>
      </c>
    </row>
    <row r="39" spans="1:10" ht="15.75" customHeight="1" x14ac:dyDescent="0.3">
      <c r="A39" s="125" t="s">
        <v>146</v>
      </c>
      <c r="B39" s="125"/>
      <c r="C39" s="81">
        <v>70</v>
      </c>
      <c r="D39" s="81">
        <v>70</v>
      </c>
      <c r="E39" s="5">
        <f t="shared" si="1"/>
        <v>0</v>
      </c>
      <c r="F39" s="5"/>
      <c r="G39" s="5">
        <v>220</v>
      </c>
    </row>
    <row r="40" spans="1:10" ht="15.75" customHeight="1" x14ac:dyDescent="0.3">
      <c r="A40" s="125" t="s">
        <v>46</v>
      </c>
      <c r="B40" s="125"/>
      <c r="C40" s="81">
        <v>11486.19</v>
      </c>
      <c r="D40" s="81">
        <v>18800</v>
      </c>
      <c r="E40" s="5">
        <f t="shared" si="1"/>
        <v>-7313.8099999999995</v>
      </c>
      <c r="F40" s="5"/>
      <c r="G40" s="5">
        <v>28200</v>
      </c>
    </row>
    <row r="41" spans="1:10" ht="15.75" customHeight="1" x14ac:dyDescent="0.3">
      <c r="A41" s="125" t="s">
        <v>45</v>
      </c>
      <c r="B41" s="125"/>
      <c r="C41" s="81">
        <v>3498.92</v>
      </c>
      <c r="D41" s="81">
        <v>10402</v>
      </c>
      <c r="E41" s="5">
        <f t="shared" si="1"/>
        <v>-6903.08</v>
      </c>
      <c r="F41" s="5"/>
      <c r="G41" s="5">
        <v>13466</v>
      </c>
      <c r="J41" s="47"/>
    </row>
    <row r="42" spans="1:10" ht="15.75" customHeight="1" x14ac:dyDescent="0.3">
      <c r="A42" s="125" t="s">
        <v>44</v>
      </c>
      <c r="B42" s="125"/>
      <c r="C42" s="81">
        <v>21231.45</v>
      </c>
      <c r="D42" s="81">
        <v>33170.86</v>
      </c>
      <c r="E42" s="5">
        <f t="shared" si="1"/>
        <v>-11939.41</v>
      </c>
      <c r="F42" s="5"/>
      <c r="G42" s="5">
        <v>41788.870000000003</v>
      </c>
    </row>
    <row r="43" spans="1:10" ht="15.75" customHeight="1" x14ac:dyDescent="0.3">
      <c r="A43" s="125" t="s">
        <v>76</v>
      </c>
      <c r="B43" s="125"/>
      <c r="C43" s="81">
        <f>89334.24-C63</f>
        <v>4644.2400000000052</v>
      </c>
      <c r="D43" s="81">
        <v>6688</v>
      </c>
      <c r="E43" s="5">
        <f t="shared" si="1"/>
        <v>-2043.7599999999948</v>
      </c>
      <c r="F43" s="5"/>
      <c r="G43" s="5">
        <v>8662</v>
      </c>
    </row>
    <row r="44" spans="1:10" ht="15.75" customHeight="1" x14ac:dyDescent="0.3">
      <c r="A44" s="3" t="s">
        <v>138</v>
      </c>
      <c r="B44" s="3"/>
      <c r="C44" s="81">
        <v>750</v>
      </c>
      <c r="D44" s="81">
        <v>3250</v>
      </c>
      <c r="E44" s="5">
        <f t="shared" si="1"/>
        <v>-2500</v>
      </c>
      <c r="F44" s="5"/>
      <c r="G44" s="5">
        <v>18985</v>
      </c>
    </row>
    <row r="45" spans="1:10" ht="15.75" customHeight="1" x14ac:dyDescent="0.3">
      <c r="A45" s="3" t="s">
        <v>125</v>
      </c>
      <c r="B45" s="3"/>
      <c r="C45" s="81">
        <v>51256.160000000003</v>
      </c>
      <c r="D45" s="81">
        <v>52000</v>
      </c>
      <c r="E45" s="5">
        <f t="shared" si="1"/>
        <v>-743.83999999999651</v>
      </c>
      <c r="F45" s="5"/>
      <c r="G45" s="5">
        <v>104000</v>
      </c>
    </row>
    <row r="46" spans="1:10" ht="15.75" customHeight="1" x14ac:dyDescent="0.3">
      <c r="A46" s="125" t="s">
        <v>24</v>
      </c>
      <c r="B46" s="125"/>
      <c r="C46" s="46">
        <f>SUM(C16:C45)</f>
        <v>2222900.3400000003</v>
      </c>
      <c r="D46" s="8">
        <f>SUM(D16:D45)</f>
        <v>2407196.6800000002</v>
      </c>
      <c r="E46" s="8">
        <f>SUM(E16:E45)</f>
        <v>-184296.34000000005</v>
      </c>
      <c r="F46" s="9"/>
      <c r="G46" s="46">
        <f>SUM(G16:G45)</f>
        <v>3677000</v>
      </c>
      <c r="H46" s="50"/>
      <c r="I46" s="47"/>
    </row>
    <row r="47" spans="1:10" ht="15.75" customHeight="1" x14ac:dyDescent="0.3">
      <c r="C47" s="7"/>
      <c r="D47" s="7"/>
      <c r="E47" s="7"/>
      <c r="F47" s="7"/>
      <c r="G47" s="7"/>
      <c r="I47" s="47"/>
    </row>
    <row r="48" spans="1:10" ht="15.75" customHeight="1" thickBot="1" x14ac:dyDescent="0.35">
      <c r="A48" s="127" t="s">
        <v>144</v>
      </c>
      <c r="B48" s="127"/>
      <c r="C48" s="17">
        <f>C13-C46</f>
        <v>523305.05999999912</v>
      </c>
      <c r="D48" s="17">
        <f t="shared" ref="D48:E48" si="2">D13-D46</f>
        <v>-66900.680000000168</v>
      </c>
      <c r="E48" s="17">
        <f t="shared" si="2"/>
        <v>590205.73999999987</v>
      </c>
      <c r="F48" s="75"/>
      <c r="G48" s="109">
        <f>G13-G46</f>
        <v>-402000</v>
      </c>
      <c r="I48" s="47"/>
    </row>
    <row r="49" spans="1:8" ht="15.75" customHeight="1" thickTop="1" x14ac:dyDescent="0.3"/>
    <row r="50" spans="1:8" ht="17.25" thickBot="1" x14ac:dyDescent="0.35"/>
    <row r="51" spans="1:8" s="23" customFormat="1" ht="15" x14ac:dyDescent="0.25">
      <c r="A51" s="65" t="s">
        <v>134</v>
      </c>
      <c r="B51" s="66"/>
      <c r="C51" s="67"/>
      <c r="D51" s="67"/>
      <c r="E51" s="66"/>
      <c r="F51" s="66"/>
      <c r="G51" s="66"/>
      <c r="H51" s="68"/>
    </row>
    <row r="52" spans="1:8" s="23" customFormat="1" ht="15" x14ac:dyDescent="0.25">
      <c r="A52" s="69"/>
      <c r="C52" s="106"/>
      <c r="D52" s="106"/>
      <c r="H52" s="107"/>
    </row>
    <row r="53" spans="1:8" x14ac:dyDescent="0.3">
      <c r="A53" s="108" t="s">
        <v>166</v>
      </c>
      <c r="C53" s="47">
        <v>2500000</v>
      </c>
      <c r="D53" s="47"/>
      <c r="H53" s="70"/>
    </row>
    <row r="54" spans="1:8" x14ac:dyDescent="0.3">
      <c r="A54" s="71"/>
      <c r="H54" s="70"/>
    </row>
    <row r="55" spans="1:8" x14ac:dyDescent="0.3">
      <c r="A55" s="69" t="s">
        <v>164</v>
      </c>
      <c r="H55" s="70"/>
    </row>
    <row r="56" spans="1:8" x14ac:dyDescent="0.3">
      <c r="A56" s="71" t="s">
        <v>143</v>
      </c>
      <c r="C56" s="72">
        <v>33260.300000000003</v>
      </c>
      <c r="H56" s="70"/>
    </row>
    <row r="57" spans="1:8" x14ac:dyDescent="0.3">
      <c r="A57" s="71" t="s">
        <v>135</v>
      </c>
      <c r="C57" s="64">
        <v>33260.300000000003</v>
      </c>
      <c r="D57" s="24" t="s">
        <v>139</v>
      </c>
      <c r="H57" s="70"/>
    </row>
    <row r="58" spans="1:8" x14ac:dyDescent="0.3">
      <c r="A58" s="71"/>
      <c r="C58" s="72">
        <f>SUM(C56:C57)</f>
        <v>66520.600000000006</v>
      </c>
      <c r="D58" s="24"/>
      <c r="H58" s="70"/>
    </row>
    <row r="59" spans="1:8" x14ac:dyDescent="0.3">
      <c r="A59" s="71"/>
      <c r="C59" s="72"/>
      <c r="D59" s="24"/>
      <c r="H59" s="70"/>
    </row>
    <row r="60" spans="1:8" x14ac:dyDescent="0.3">
      <c r="A60" s="71" t="s">
        <v>167</v>
      </c>
      <c r="C60" s="72">
        <v>138100</v>
      </c>
      <c r="D60" s="24"/>
      <c r="H60" s="70"/>
    </row>
    <row r="61" spans="1:8" x14ac:dyDescent="0.3">
      <c r="A61" s="71"/>
      <c r="C61" s="47"/>
      <c r="H61" s="70"/>
    </row>
    <row r="62" spans="1:8" x14ac:dyDescent="0.3">
      <c r="A62" s="71" t="s">
        <v>182</v>
      </c>
      <c r="C62" s="47">
        <v>84690</v>
      </c>
      <c r="H62" s="70"/>
    </row>
    <row r="63" spans="1:8" x14ac:dyDescent="0.3">
      <c r="A63" s="71" t="s">
        <v>183</v>
      </c>
      <c r="C63" s="47">
        <f>80000+3940+125+295+55+90+75+110</f>
        <v>84690</v>
      </c>
      <c r="H63" s="70"/>
    </row>
    <row r="64" spans="1:8" x14ac:dyDescent="0.3">
      <c r="A64" s="71"/>
      <c r="C64" s="47"/>
      <c r="H64" s="70"/>
    </row>
    <row r="65" spans="1:8" x14ac:dyDescent="0.3">
      <c r="A65" s="71"/>
      <c r="B65" s="47"/>
      <c r="C65" s="47">
        <f>C13+C53+C56+C60+C62-1</f>
        <v>5502254.6999999993</v>
      </c>
      <c r="D65" s="1" t="s">
        <v>140</v>
      </c>
      <c r="G65" s="76"/>
      <c r="H65" s="70"/>
    </row>
    <row r="66" spans="1:8" x14ac:dyDescent="0.3">
      <c r="A66" s="71"/>
      <c r="C66" s="77">
        <f>C46+C57+C63-4</f>
        <v>2340846.64</v>
      </c>
      <c r="D66" s="47" t="s">
        <v>24</v>
      </c>
      <c r="G66" s="76"/>
      <c r="H66" s="70"/>
    </row>
    <row r="67" spans="1:8" x14ac:dyDescent="0.3">
      <c r="A67" s="71"/>
      <c r="C67" s="47">
        <f>C65-C66</f>
        <v>3161408.0599999991</v>
      </c>
      <c r="D67" s="47"/>
      <c r="G67" s="76"/>
      <c r="H67" s="70"/>
    </row>
    <row r="68" spans="1:8" x14ac:dyDescent="0.3">
      <c r="A68" s="71"/>
      <c r="H68" s="70"/>
    </row>
    <row r="69" spans="1:8" ht="17.25" thickBot="1" x14ac:dyDescent="0.35">
      <c r="A69" s="98" t="s">
        <v>145</v>
      </c>
      <c r="B69" s="99"/>
      <c r="C69" s="100">
        <f>C67</f>
        <v>3161408.0599999991</v>
      </c>
      <c r="D69" s="99"/>
      <c r="E69" s="99"/>
      <c r="F69" s="99"/>
      <c r="G69" s="99"/>
      <c r="H69" s="101"/>
    </row>
    <row r="72" spans="1:8" x14ac:dyDescent="0.3">
      <c r="C72" s="47"/>
    </row>
    <row r="73" spans="1:8" s="23" customFormat="1" x14ac:dyDescent="0.3">
      <c r="A73" s="1"/>
      <c r="B73" s="1"/>
      <c r="C73" s="47"/>
      <c r="D73" s="1"/>
      <c r="E73" s="1"/>
      <c r="F73" s="1"/>
      <c r="G73" s="1"/>
      <c r="H73" s="24"/>
    </row>
    <row r="76" spans="1:8" x14ac:dyDescent="0.3">
      <c r="C76" s="47">
        <f>C66-'Stmt Activities'!F27</f>
        <v>-0.21999999927356839</v>
      </c>
    </row>
  </sheetData>
  <mergeCells count="41">
    <mergeCell ref="A48:B48"/>
    <mergeCell ref="A38:B38"/>
    <mergeCell ref="A40:B40"/>
    <mergeCell ref="A41:B41"/>
    <mergeCell ref="A42:B42"/>
    <mergeCell ref="A43:B43"/>
    <mergeCell ref="A34:B34"/>
    <mergeCell ref="A35:B35"/>
    <mergeCell ref="A36:B36"/>
    <mergeCell ref="A37:B37"/>
    <mergeCell ref="A46:B46"/>
    <mergeCell ref="A39:B39"/>
    <mergeCell ref="A28:B28"/>
    <mergeCell ref="A29:B29"/>
    <mergeCell ref="A31:B31"/>
    <mergeCell ref="A32:B32"/>
    <mergeCell ref="A33:B33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:E1"/>
    <mergeCell ref="A2:E2"/>
    <mergeCell ref="A3:E3"/>
    <mergeCell ref="A4:E4"/>
    <mergeCell ref="A5:B5"/>
    <mergeCell ref="A13:B13"/>
    <mergeCell ref="A15:B15"/>
    <mergeCell ref="A16:B16"/>
    <mergeCell ref="A6:B6"/>
    <mergeCell ref="A7:B7"/>
    <mergeCell ref="A8:B8"/>
    <mergeCell ref="A9:B9"/>
    <mergeCell ref="A10:B10"/>
    <mergeCell ref="A12:B12"/>
  </mergeCells>
  <pageMargins left="0.25" right="0" top="0.25" bottom="0.25" header="0.5" footer="0.5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0734-4A9D-482B-806B-C0E96F412708}">
  <dimension ref="A1:G22"/>
  <sheetViews>
    <sheetView tabSelected="1" workbookViewId="0">
      <selection activeCell="D12" sqref="D12"/>
    </sheetView>
  </sheetViews>
  <sheetFormatPr defaultRowHeight="16.5" x14ac:dyDescent="0.3"/>
  <cols>
    <col min="1" max="1" width="5.28515625" style="30" customWidth="1"/>
    <col min="2" max="2" width="5.5703125" style="30" customWidth="1"/>
    <col min="3" max="3" width="50.28515625" style="30" customWidth="1"/>
    <col min="4" max="4" width="12.5703125" style="30" customWidth="1"/>
    <col min="5" max="5" width="2" style="30" customWidth="1"/>
    <col min="6" max="6" width="9.140625" style="40"/>
    <col min="7" max="7" width="11.5703125" style="30" bestFit="1" customWidth="1"/>
    <col min="8" max="16384" width="9.140625" style="30"/>
  </cols>
  <sheetData>
    <row r="1" spans="1:7" s="28" customFormat="1" ht="17.25" x14ac:dyDescent="0.3">
      <c r="A1" s="28" t="s">
        <v>112</v>
      </c>
      <c r="F1" s="29"/>
    </row>
    <row r="3" spans="1:7" x14ac:dyDescent="0.3">
      <c r="D3" s="31">
        <v>45716</v>
      </c>
      <c r="E3" s="32"/>
      <c r="F3" s="33"/>
    </row>
    <row r="4" spans="1:7" x14ac:dyDescent="0.3">
      <c r="B4" s="30" t="s">
        <v>153</v>
      </c>
      <c r="D4" s="102">
        <v>1152623.51</v>
      </c>
      <c r="E4" s="35"/>
      <c r="F4" s="33"/>
    </row>
    <row r="5" spans="1:7" x14ac:dyDescent="0.3">
      <c r="D5" s="34"/>
      <c r="E5" s="35"/>
      <c r="F5" s="33"/>
    </row>
    <row r="6" spans="1:7" x14ac:dyDescent="0.3">
      <c r="C6" s="30" t="s">
        <v>113</v>
      </c>
      <c r="D6" s="34">
        <v>2540844</v>
      </c>
      <c r="E6" s="35"/>
      <c r="F6" s="33"/>
    </row>
    <row r="7" spans="1:7" x14ac:dyDescent="0.3">
      <c r="C7" s="30" t="s">
        <v>114</v>
      </c>
      <c r="D7" s="34">
        <v>0</v>
      </c>
      <c r="E7" s="35"/>
      <c r="F7" s="33"/>
    </row>
    <row r="8" spans="1:7" x14ac:dyDescent="0.3">
      <c r="C8" s="30" t="s">
        <v>115</v>
      </c>
      <c r="D8" s="34">
        <v>415314.08</v>
      </c>
      <c r="E8" s="35"/>
      <c r="F8" s="33"/>
    </row>
    <row r="9" spans="1:7" x14ac:dyDescent="0.3">
      <c r="C9" s="30" t="s">
        <v>116</v>
      </c>
      <c r="D9" s="34">
        <v>-300784.32</v>
      </c>
      <c r="E9" s="35"/>
      <c r="F9" s="33"/>
    </row>
    <row r="10" spans="1:7" x14ac:dyDescent="0.3">
      <c r="C10" s="30" t="s">
        <v>117</v>
      </c>
      <c r="D10" s="34">
        <v>31725.07</v>
      </c>
      <c r="E10" s="35"/>
      <c r="F10" s="33"/>
    </row>
    <row r="11" spans="1:7" x14ac:dyDescent="0.3">
      <c r="C11" s="30" t="s">
        <v>118</v>
      </c>
      <c r="D11" s="36">
        <v>-8155.42</v>
      </c>
      <c r="E11" s="37"/>
      <c r="F11" s="33"/>
    </row>
    <row r="12" spans="1:7" x14ac:dyDescent="0.3">
      <c r="D12" s="34"/>
      <c r="E12" s="35"/>
      <c r="F12" s="33"/>
    </row>
    <row r="13" spans="1:7" x14ac:dyDescent="0.3">
      <c r="B13" s="30" t="s">
        <v>119</v>
      </c>
      <c r="D13" s="38">
        <f>SUM(D4:D11)</f>
        <v>3831566.92</v>
      </c>
      <c r="E13" s="38">
        <f t="shared" ref="E13" si="0">SUM(E4:E11)</f>
        <v>0</v>
      </c>
      <c r="F13" s="33"/>
      <c r="G13" s="39"/>
    </row>
    <row r="14" spans="1:7" x14ac:dyDescent="0.3">
      <c r="G14" s="41"/>
    </row>
    <row r="15" spans="1:7" s="40" customFormat="1" ht="14.25" x14ac:dyDescent="0.2"/>
    <row r="17" spans="7:7" x14ac:dyDescent="0.3">
      <c r="G17" s="42"/>
    </row>
    <row r="21" spans="7:7" x14ac:dyDescent="0.3">
      <c r="G21" s="41"/>
    </row>
    <row r="22" spans="7:7" x14ac:dyDescent="0.3">
      <c r="G22" s="41"/>
    </row>
  </sheetData>
  <pageMargins left="0.7" right="0.7" top="0.75" bottom="0.75" header="0.3" footer="0.3"/>
  <pageSetup orientation="portrait" r:id="rId1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Financial Position</vt:lpstr>
      <vt:lpstr>Stmt Activities</vt:lpstr>
      <vt:lpstr>Functional Exp</vt:lpstr>
      <vt:lpstr>Restricted Detail</vt:lpstr>
      <vt:lpstr>Budget variance</vt:lpstr>
      <vt:lpstr>Endowment</vt:lpstr>
      <vt:lpstr>'Budget variance'!Print_Area</vt:lpstr>
      <vt:lpstr>Endowment!Print_Area</vt:lpstr>
      <vt:lpstr>'Financial Position'!Print_Area</vt:lpstr>
      <vt:lpstr>'Functional Exp'!Print_Area</vt:lpstr>
      <vt:lpstr>'Restricted Detail'!Print_Area</vt:lpstr>
      <vt:lpstr>'Stmt Activities'!Print_Area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2025-03-05T20:06:53Z</cp:lastPrinted>
  <dcterms:created xsi:type="dcterms:W3CDTF">2023-09-08T19:08:44Z</dcterms:created>
  <dcterms:modified xsi:type="dcterms:W3CDTF">2025-03-18T13:33:47Z</dcterms:modified>
</cp:coreProperties>
</file>