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BOARD\Committees\Finance Committee\05.11.26 Finance Committee Meeting\"/>
    </mc:Choice>
  </mc:AlternateContent>
  <xr:revisionPtr revIDLastSave="0" documentId="13_ncr:1_{19C3D047-DAD2-4C78-B337-909D497CA8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Y26 Projected v Budget" sheetId="5" r:id="rId1"/>
    <sheet name="FY27 Budget " sheetId="4" r:id="rId2"/>
    <sheet name="Development Revenue" sheetId="7" r:id="rId3"/>
    <sheet name="2027-2029" sheetId="8" r:id="rId4"/>
    <sheet name="FY27 Budget Detail " sheetId="6" r:id="rId5"/>
    <sheet name="Funding Resources" sheetId="10" r:id="rId6"/>
  </sheets>
  <definedNames>
    <definedName name="_xlnm.Print_Area" localSheetId="3">'2027-2029'!$A$1:$F$40</definedName>
    <definedName name="_xlnm.Print_Area" localSheetId="2">'Development Revenue'!$A$2:$B$17</definedName>
    <definedName name="_xlnm.Print_Area" localSheetId="0">'FY26 Projected v Budget'!$A$1:$S$68</definedName>
    <definedName name="_xlnm.Print_Area" localSheetId="1">'FY27 Budget '!$A$1:$G$39</definedName>
    <definedName name="_xlnm.Print_Area" localSheetId="4">'FY27 Budget Detail '!$A$1:$F$67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0" l="1"/>
  <c r="D20" i="10"/>
  <c r="H7" i="10" s="1"/>
  <c r="D25" i="10"/>
  <c r="D24" i="10" s="1"/>
  <c r="D27" i="10" s="1"/>
  <c r="D30" i="10" s="1"/>
  <c r="D32" i="10" s="1"/>
  <c r="G20" i="4" l="1"/>
  <c r="E22" i="8" l="1"/>
  <c r="D31" i="8"/>
  <c r="E36" i="8"/>
  <c r="D6" i="8"/>
  <c r="E6" i="8" s="1"/>
  <c r="D7" i="8"/>
  <c r="E7" i="8" s="1"/>
  <c r="D8" i="8"/>
  <c r="E8" i="8" s="1"/>
  <c r="D9" i="8"/>
  <c r="E9" i="8" s="1"/>
  <c r="D10" i="8"/>
  <c r="E10" i="8" s="1"/>
  <c r="C11" i="8"/>
  <c r="C15" i="8" s="1"/>
  <c r="C20" i="8" s="1"/>
  <c r="D11" i="8"/>
  <c r="D15" i="8" s="1"/>
  <c r="D20" i="8" s="1"/>
  <c r="D26" i="8" s="1"/>
  <c r="D13" i="8"/>
  <c r="E13" i="8" s="1"/>
  <c r="D17" i="8"/>
  <c r="E17" i="8"/>
  <c r="C18" i="8"/>
  <c r="D18" i="8" s="1"/>
  <c r="E18" i="8" s="1"/>
  <c r="E11" i="8" l="1"/>
  <c r="E15" i="8" s="1"/>
  <c r="E20" i="8" s="1"/>
  <c r="E26" i="8" s="1"/>
  <c r="G18" i="4" l="1"/>
  <c r="F37" i="8"/>
  <c r="F36" i="8"/>
  <c r="E38" i="8"/>
  <c r="E40" i="8" s="1"/>
  <c r="B38" i="8"/>
  <c r="F35" i="8"/>
  <c r="F32" i="8"/>
  <c r="F31" i="8"/>
  <c r="D38" i="8"/>
  <c r="D33" i="8"/>
  <c r="C26" i="8" s="1"/>
  <c r="D40" i="8" l="1"/>
  <c r="C38" i="8"/>
  <c r="F38" i="8"/>
  <c r="C33" i="8"/>
  <c r="B33" i="8"/>
  <c r="F33" i="8"/>
  <c r="D59" i="6"/>
  <c r="B59" i="6"/>
  <c r="B40" i="8" l="1"/>
  <c r="C40" i="8"/>
  <c r="F40" i="8"/>
  <c r="R8" i="5"/>
  <c r="P66" i="5"/>
  <c r="B18" i="4"/>
  <c r="D18" i="4" s="1"/>
  <c r="B20" i="4"/>
  <c r="B26" i="4" s="1"/>
  <c r="B54" i="6" l="1"/>
  <c r="B11" i="6"/>
  <c r="D32" i="4"/>
  <c r="D31" i="4"/>
  <c r="C33" i="4"/>
  <c r="B22" i="4" s="1"/>
  <c r="B63" i="6" s="1"/>
  <c r="D35" i="4"/>
  <c r="B37" i="4"/>
  <c r="N10" i="5"/>
  <c r="R10" i="5" s="1"/>
  <c r="N9" i="5"/>
  <c r="R9" i="5" s="1"/>
  <c r="N8" i="5"/>
  <c r="N7" i="5"/>
  <c r="R7" i="5" s="1"/>
  <c r="N6" i="5"/>
  <c r="R6" i="5" s="1"/>
  <c r="R11" i="5" l="1"/>
  <c r="D33" i="4"/>
  <c r="K11" i="5"/>
  <c r="B33" i="4" l="1"/>
  <c r="B39" i="4" s="1"/>
  <c r="B11" i="4"/>
  <c r="B15" i="4" s="1"/>
  <c r="O11" i="5" l="1"/>
  <c r="C13" i="6" l="1"/>
  <c r="D53" i="6" l="1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F13" i="4"/>
  <c r="G13" i="4" s="1"/>
  <c r="F17" i="4"/>
  <c r="G17" i="4" s="1"/>
  <c r="F10" i="4"/>
  <c r="G10" i="4" s="1"/>
  <c r="F9" i="4"/>
  <c r="G9" i="4" s="1"/>
  <c r="F8" i="4"/>
  <c r="G8" i="4" s="1"/>
  <c r="F7" i="4"/>
  <c r="F6" i="4"/>
  <c r="D13" i="6"/>
  <c r="D58" i="6"/>
  <c r="G6" i="4" l="1"/>
  <c r="F11" i="4"/>
  <c r="F15" i="4" s="1"/>
  <c r="F20" i="4" s="1"/>
  <c r="G7" i="4"/>
  <c r="G11" i="4" l="1"/>
  <c r="G15" i="4" s="1"/>
  <c r="C10" i="4"/>
  <c r="C9" i="4"/>
  <c r="C8" i="4"/>
  <c r="C7" i="4"/>
  <c r="C6" i="4"/>
  <c r="C6" i="6" s="1"/>
  <c r="M59" i="5"/>
  <c r="K59" i="5"/>
  <c r="J59" i="5"/>
  <c r="I59" i="5"/>
  <c r="H59" i="5"/>
  <c r="G59" i="5"/>
  <c r="F59" i="5"/>
  <c r="E59" i="5"/>
  <c r="D59" i="5"/>
  <c r="C59" i="5"/>
  <c r="B59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L59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M11" i="5"/>
  <c r="L11" i="5"/>
  <c r="J11" i="5"/>
  <c r="I11" i="5"/>
  <c r="H11" i="5"/>
  <c r="G11" i="5"/>
  <c r="F11" i="5"/>
  <c r="E11" i="5"/>
  <c r="D11" i="5"/>
  <c r="C11" i="5"/>
  <c r="B11" i="5"/>
  <c r="J62" i="5"/>
  <c r="I62" i="5"/>
  <c r="H62" i="5"/>
  <c r="G62" i="5"/>
  <c r="P10" i="5"/>
  <c r="P9" i="5"/>
  <c r="P8" i="5"/>
  <c r="P7" i="5"/>
  <c r="P6" i="5"/>
  <c r="P11" i="5" l="1"/>
  <c r="D7" i="4"/>
  <c r="C7" i="6"/>
  <c r="D7" i="6" s="1"/>
  <c r="D8" i="4"/>
  <c r="C8" i="6"/>
  <c r="D8" i="6" s="1"/>
  <c r="D9" i="4"/>
  <c r="C9" i="6"/>
  <c r="D9" i="6" s="1"/>
  <c r="D10" i="4"/>
  <c r="C10" i="6"/>
  <c r="D10" i="6" s="1"/>
  <c r="D6" i="6"/>
  <c r="N62" i="5"/>
  <c r="C11" i="4"/>
  <c r="N11" i="5"/>
  <c r="B6" i="7" s="1"/>
  <c r="B8" i="7" s="1"/>
  <c r="B15" i="7" s="1"/>
  <c r="B16" i="7" s="1"/>
  <c r="H60" i="5"/>
  <c r="D6" i="4"/>
  <c r="C54" i="6"/>
  <c r="D60" i="5"/>
  <c r="F60" i="5"/>
  <c r="G60" i="5"/>
  <c r="C60" i="5"/>
  <c r="E60" i="5"/>
  <c r="N38" i="5"/>
  <c r="J60" i="5"/>
  <c r="L60" i="5"/>
  <c r="M60" i="5"/>
  <c r="I60" i="5"/>
  <c r="K60" i="5"/>
  <c r="B60" i="5"/>
  <c r="C17" i="4" l="1"/>
  <c r="D17" i="4" s="1"/>
  <c r="R62" i="5"/>
  <c r="D11" i="6"/>
  <c r="D11" i="4"/>
  <c r="C11" i="6"/>
  <c r="C56" i="6" s="1"/>
  <c r="C61" i="6" s="1"/>
  <c r="P62" i="5"/>
  <c r="D54" i="6"/>
  <c r="P38" i="5"/>
  <c r="R38" i="5" s="1"/>
  <c r="N59" i="5"/>
  <c r="R59" i="5" s="1"/>
  <c r="R60" i="5" s="1"/>
  <c r="R64" i="5" s="1"/>
  <c r="R68" i="5" s="1"/>
  <c r="P59" i="5" l="1"/>
  <c r="P60" i="5" s="1"/>
  <c r="C13" i="4"/>
  <c r="C15" i="4" s="1"/>
  <c r="C20" i="4" s="1"/>
  <c r="N60" i="5"/>
  <c r="N64" i="5" s="1"/>
  <c r="N68" i="5" s="1"/>
  <c r="D13" i="4" l="1"/>
  <c r="D15" i="4" s="1"/>
  <c r="D20" i="4" s="1"/>
  <c r="O60" i="5"/>
  <c r="O64" i="5" s="1"/>
  <c r="O68" i="5" s="1"/>
  <c r="P68" i="5" s="1"/>
  <c r="B56" i="6"/>
  <c r="B61" i="6" s="1"/>
  <c r="C37" i="4"/>
  <c r="B65" i="6" s="1"/>
  <c r="D36" i="4"/>
  <c r="D37" i="4" s="1"/>
  <c r="D39" i="4" s="1"/>
  <c r="B67" i="6" l="1"/>
  <c r="D56" i="6"/>
  <c r="D61" i="6" s="1"/>
  <c r="P64" i="5"/>
  <c r="C39" i="4"/>
</calcChain>
</file>

<file path=xl/sharedStrings.xml><?xml version="1.0" encoding="utf-8"?>
<sst xmlns="http://schemas.openxmlformats.org/spreadsheetml/2006/main" count="257" uniqueCount="158">
  <si>
    <t>Variance</t>
  </si>
  <si>
    <t>Income</t>
  </si>
  <si>
    <t>4000 Foundation Revenue &amp; Grants</t>
  </si>
  <si>
    <t>4100 Governmental Grants</t>
  </si>
  <si>
    <t>4200 Individual Contributions / Family Foundations</t>
  </si>
  <si>
    <t>4300 Corporate Revenue</t>
  </si>
  <si>
    <t>4310 Organizational Revenue</t>
  </si>
  <si>
    <t>4800 Dividend and Interest Income</t>
  </si>
  <si>
    <t>Total Income</t>
  </si>
  <si>
    <t>Expense</t>
  </si>
  <si>
    <t>5000 Salaries</t>
  </si>
  <si>
    <t>5005 Salaries - Accrued Vacation</t>
  </si>
  <si>
    <t>5010 Payroll Taxes</t>
  </si>
  <si>
    <t>5020 Employee Benefits - Health Insurance, Workers Comp, 403B</t>
  </si>
  <si>
    <t>5050 Professional Development Costs</t>
  </si>
  <si>
    <t>5060 Recruiting Expense</t>
  </si>
  <si>
    <t>5070 Background Checks/ Drug Testing</t>
  </si>
  <si>
    <t>5080 Cell Phone / Mileage Reimbursement</t>
  </si>
  <si>
    <t>6000 Accounting and Legal</t>
  </si>
  <si>
    <t>6010 IT &amp; Technical Support Services</t>
  </si>
  <si>
    <t>6030 Graphic Design</t>
  </si>
  <si>
    <t>6040 Video Production</t>
  </si>
  <si>
    <t>6050 Photography</t>
  </si>
  <si>
    <t>6060 Special Event Professional Services</t>
  </si>
  <si>
    <t>6070 Other Professional Services</t>
  </si>
  <si>
    <t>6100 Facility Operations and HOA Fees</t>
  </si>
  <si>
    <t>6110 Repairs, Maintenance &amp; Cleaning</t>
  </si>
  <si>
    <t>6200 Office Supplies</t>
  </si>
  <si>
    <t>6210 Equipment Lease - Copier</t>
  </si>
  <si>
    <t>6300 Telecommunications &amp; Website</t>
  </si>
  <si>
    <t>6310 Software Licenses</t>
  </si>
  <si>
    <t>6320 Financial Service Fees</t>
  </si>
  <si>
    <t>6400 Insurance</t>
  </si>
  <si>
    <t>6500 State Registration &amp; Licensing Fees</t>
  </si>
  <si>
    <t>6600 Payroll Processing Fees</t>
  </si>
  <si>
    <t>7000 Scholarships</t>
  </si>
  <si>
    <t>7010 Grants to Third Parties</t>
  </si>
  <si>
    <t>7020 Awards &amp; Recognition</t>
  </si>
  <si>
    <t>7030 General Program Materials</t>
  </si>
  <si>
    <t>7040 Meals &amp; Entertainment</t>
  </si>
  <si>
    <t>7050 Transportation</t>
  </si>
  <si>
    <t>7060 School Services</t>
  </si>
  <si>
    <t>7070 Volunteer &amp; Intern Expense</t>
  </si>
  <si>
    <t>7080 Outreach &amp; Education</t>
  </si>
  <si>
    <t>7090 Marketing and Direct Donor Expenses</t>
  </si>
  <si>
    <t>7100 Dues, Publications &amp; Subscriptions</t>
  </si>
  <si>
    <t>7110 Travel</t>
  </si>
  <si>
    <t>7120 Conferences, Conventions &amp; Meetings</t>
  </si>
  <si>
    <t>7130 Postage &amp; Shipping</t>
  </si>
  <si>
    <t>7140 Printing &amp; Copying</t>
  </si>
  <si>
    <t>7150 Advertising</t>
  </si>
  <si>
    <t>7160 Auction Expense</t>
  </si>
  <si>
    <t>8000 Depreciation</t>
  </si>
  <si>
    <t>Total Expense</t>
  </si>
  <si>
    <t>Jun-26
Budget</t>
  </si>
  <si>
    <t>May-26
Budget</t>
  </si>
  <si>
    <t>Apr-26
Budget</t>
  </si>
  <si>
    <t>Mar-26
Actual</t>
  </si>
  <si>
    <t>Feb-26
Actual</t>
  </si>
  <si>
    <t>Jan-26
Actual</t>
  </si>
  <si>
    <t>Dec-25
Actual</t>
  </si>
  <si>
    <t>Nov-25
Actual</t>
  </si>
  <si>
    <t>Oct-25
Actual</t>
  </si>
  <si>
    <t>Sep-25
Actual</t>
  </si>
  <si>
    <t>Aug-25
Actual</t>
  </si>
  <si>
    <t>Jul-25
Actual</t>
  </si>
  <si>
    <t xml:space="preserve">Projected FY26 Actual </t>
  </si>
  <si>
    <t xml:space="preserve">The Education Foundation of Collier County </t>
  </si>
  <si>
    <t xml:space="preserve">Projected Actuals FY2026 Versus Budget </t>
  </si>
  <si>
    <t xml:space="preserve">Proposed FY27 Budget  </t>
  </si>
  <si>
    <t xml:space="preserve">Proposed FY27 Budget vs Projected FY26 Actuals </t>
  </si>
  <si>
    <t xml:space="preserve">Proposed FY27 Budget vs Projected FY26 Actuals Detailed </t>
  </si>
  <si>
    <t xml:space="preserve">Variance </t>
  </si>
  <si>
    <t xml:space="preserve">FY26 Budget </t>
  </si>
  <si>
    <t xml:space="preserve">FY27 Budget vs FY26 Budget </t>
  </si>
  <si>
    <t>Migration to cloud $20k</t>
  </si>
  <si>
    <t>Funds pledged in Y26 for expansion - Hewson</t>
  </si>
  <si>
    <t>Net Operating Gain/Loss</t>
  </si>
  <si>
    <t>Net Income Gain/Loss</t>
  </si>
  <si>
    <t xml:space="preserve">Net Surplus/Deficit </t>
  </si>
  <si>
    <t xml:space="preserve">Additional Expansion Funds received/pledged </t>
  </si>
  <si>
    <t xml:space="preserve">Additional Expansion Funds Received/Pledged </t>
  </si>
  <si>
    <t>Cash Reserves - Program Expansion Funding approved for FY 26 (Unused) and FY27</t>
  </si>
  <si>
    <t>Availabile Funds Received in FY26 for expansion - Martchek</t>
  </si>
  <si>
    <t>Additional Expansion Funds Received</t>
  </si>
  <si>
    <t>Projected FY27 Development Revenue</t>
  </si>
  <si>
    <t>Projected FY26 Ending Development Revenue</t>
  </si>
  <si>
    <t>Estimated 10% increase</t>
  </si>
  <si>
    <t xml:space="preserve">Increase in students and projected cost per bus </t>
  </si>
  <si>
    <t xml:space="preserve">Additional students due to expansion </t>
  </si>
  <si>
    <t>Updated categorization of special event expenses</t>
  </si>
  <si>
    <t xml:space="preserve">Development Revenue Analysis </t>
  </si>
  <si>
    <t>Percentage Increase in Projected FY27 Development Revenue vs FY26</t>
  </si>
  <si>
    <t xml:space="preserve">FY26 v FY27 Development Revenue </t>
  </si>
  <si>
    <t>Projected FY26 Ending Development Revenue Less Additional Expansion Funds Received</t>
  </si>
  <si>
    <t>Updated categorization of expenses</t>
  </si>
  <si>
    <t xml:space="preserve">Cash Reserves - Program Expansion Funding approved for FY 26 (Unused) </t>
  </si>
  <si>
    <t>Cash Reserves - Program Expansion Funding approved for FY 27</t>
  </si>
  <si>
    <t xml:space="preserve">Cash Reserves - Program Expansion Funding approved for expansion </t>
  </si>
  <si>
    <t xml:space="preserve">Available Funds </t>
  </si>
  <si>
    <t xml:space="preserve">Total Funds </t>
  </si>
  <si>
    <t>$25k GA television; Updated categorization of expenses. See decrease in "7040 Meals &amp; Entertainment"</t>
  </si>
  <si>
    <t xml:space="preserve">Some postage was being coded to printing in previous periods </t>
  </si>
  <si>
    <t>Assigning to FY27</t>
  </si>
  <si>
    <t xml:space="preserve">Funds Remaining </t>
  </si>
  <si>
    <t xml:space="preserve">Proposed FY27 Budget </t>
  </si>
  <si>
    <t>Annual FY26
Budget</t>
  </si>
  <si>
    <t>4810 Unrealized Gain/(Loss)</t>
  </si>
  <si>
    <t>Cash Reserves - Program Expansion Funding approved for FY 28</t>
  </si>
  <si>
    <t>Assigning to FY28</t>
  </si>
  <si>
    <t>Assigning to FY29</t>
  </si>
  <si>
    <t>2027-2029</t>
  </si>
  <si>
    <t xml:space="preserve">Hewson &amp; Martchek Funds Included in FY26 Income. These  Funds were Intended for the Expansion and will be used in Future Years. </t>
  </si>
  <si>
    <t>Hewson &amp; Martchek gifts above budget ($850k)</t>
  </si>
  <si>
    <t>Net Income Gain/Loss Less Expansion Funds included in FY26</t>
  </si>
  <si>
    <t xml:space="preserve">Projected FY26 Actual less Hewson &amp; Martchek above budget </t>
  </si>
  <si>
    <t xml:space="preserve">Funds Remaining for Expansion </t>
  </si>
  <si>
    <t xml:space="preserve">Addition of CPO, plus COLA/Market Adjustment 4% </t>
  </si>
  <si>
    <t>Projected Increase of 13% to maintain current benefits</t>
  </si>
  <si>
    <t>Funds pledged in FY26 for expansion - Hewson</t>
  </si>
  <si>
    <t>FCAN, NCAN</t>
  </si>
  <si>
    <t xml:space="preserve">Consortium of Florida Education Foundation Conferences, FCAN, NCAN </t>
  </si>
  <si>
    <t xml:space="preserve">The FY28  and FY29 projections simply reflect a 6% increase in total income and 4% increase in total expeneses. The actual numbers in the proposed FY28 and FY29 budgets will very sigificantly. These projections are for general planning only. </t>
  </si>
  <si>
    <t>Daveler Foundation $50k, CFEF Reslience &amp; Program Audit $50k, Trinity by the Cove $10k, Comerica $5k</t>
  </si>
  <si>
    <t>FY27</t>
  </si>
  <si>
    <t>FY28</t>
  </si>
  <si>
    <t>FY29</t>
  </si>
  <si>
    <t>Total Liabilities &amp; Net Assets</t>
  </si>
  <si>
    <t xml:space="preserve">     Total Net Assets</t>
  </si>
  <si>
    <t xml:space="preserve">          With Donor Restrictions</t>
  </si>
  <si>
    <t xml:space="preserve">          Total Without Donor Restrictions</t>
  </si>
  <si>
    <t xml:space="preserve">               Designated</t>
  </si>
  <si>
    <t xml:space="preserve">               Investment in Property and Equipment </t>
  </si>
  <si>
    <t xml:space="preserve">               Undesignated</t>
  </si>
  <si>
    <t xml:space="preserve">          Without Donor Restrictions</t>
  </si>
  <si>
    <t xml:space="preserve">     Net Assets</t>
  </si>
  <si>
    <t xml:space="preserve">     Total Liabilities</t>
  </si>
  <si>
    <t xml:space="preserve">               Accrued Payroll &amp; Vacation</t>
  </si>
  <si>
    <t xml:space="preserve">               Accounts Payable</t>
  </si>
  <si>
    <t xml:space="preserve">     Liabilities</t>
  </si>
  <si>
    <t>Liabilities &amp; Net Assets</t>
  </si>
  <si>
    <t>Total Assets</t>
  </si>
  <si>
    <t xml:space="preserve">               Property and Equipment, net</t>
  </si>
  <si>
    <t xml:space="preserve">               Benefical Interest in Investments (held at CCF)</t>
  </si>
  <si>
    <t xml:space="preserve">               Other Prepaid Expenses</t>
  </si>
  <si>
    <t xml:space="preserve">               Prepaid Scholarships</t>
  </si>
  <si>
    <t xml:space="preserve">               Pledges Receivable</t>
  </si>
  <si>
    <t xml:space="preserve">               Cash and Cash Equivalents (Schwab)</t>
  </si>
  <si>
    <t xml:space="preserve">Funding Resources </t>
  </si>
  <si>
    <t xml:space="preserve">               Cash and Cash Equivalents (Everbank)</t>
  </si>
  <si>
    <t>Assets</t>
  </si>
  <si>
    <t>03/31/26</t>
  </si>
  <si>
    <t>March 31, 2026</t>
  </si>
  <si>
    <t>Statement of Financial Position</t>
  </si>
  <si>
    <t>The Education Foundation of Collier County Inc.</t>
  </si>
  <si>
    <t>FY26 Included CFO as a consultant for part of the year as well as Veritus and Giving Pathways</t>
  </si>
  <si>
    <t>includes Veritus $42k and Giving Pathways $48k (previously in other professional services)</t>
  </si>
  <si>
    <t>$150k Schoolwide Innovation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</si>
</sst>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;\-"/>
    <numFmt numFmtId="165" formatCode="_(* #,##0_);_(* \(#,##0\);_(* &quot;-&quot;??_);_(@_)"/>
    <numFmt numFmtId="166" formatCode="0.##%"/>
    <numFmt numFmtId="167" formatCode="_(&quot;$&quot;* #,##0_);_(&quot;$&quot;* \(#,##0\);_(&quot;$&quot;* &quot;-&quot;??_);_(@_)"/>
    <numFmt numFmtId="168" formatCode="_(&quot;$&quot;* #,##0.0_);_(&quot;$&quot;* \(#,##0.0\);_(&quot;$&quot;* &quot;-&quot;??_);_(@_)"/>
    <numFmt numFmtId="169" formatCode="[$-409]mmmm\ d\,\ yyyy;@"/>
    <numFmt numFmtId="170" formatCode="[$$-409]#,##0;\([$$-409]#,##0\);[$$-409]#,##0"/>
  </numFmts>
  <fonts count="18" x14ac:knownFonts="1">
    <font>
      <sz val="11"/>
      <name val="Calibri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Tahoma"/>
      <family val="2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entury Gothic"/>
      <family val="2"/>
    </font>
    <font>
      <sz val="11"/>
      <name val="Arial"/>
      <family val="2"/>
    </font>
    <font>
      <sz val="11"/>
      <name val="Century Gothic"/>
      <family val="2"/>
    </font>
    <font>
      <sz val="11"/>
      <color rgb="FF000000"/>
      <name val="Arial"/>
      <family val="2"/>
    </font>
    <font>
      <b/>
      <sz val="11"/>
      <color rgb="FF000000"/>
      <name val="Century Gothic"/>
      <family val="2"/>
    </font>
    <font>
      <b/>
      <sz val="11"/>
      <name val="Arial"/>
      <family val="2"/>
    </font>
    <font>
      <b/>
      <sz val="11"/>
      <name val="Century Gothic"/>
      <family val="2"/>
    </font>
    <font>
      <b/>
      <sz val="11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65" fontId="0" fillId="0" borderId="0" xfId="1" applyNumberFormat="1" applyFont="1"/>
    <xf numFmtId="0" fontId="3" fillId="0" borderId="0" xfId="0" applyFont="1"/>
    <xf numFmtId="0" fontId="0" fillId="0" borderId="0" xfId="0" applyAlignment="1">
      <alignment wrapText="1"/>
    </xf>
    <xf numFmtId="166" fontId="2" fillId="2" borderId="0" xfId="0" applyNumberFormat="1" applyFont="1" applyFill="1" applyAlignment="1">
      <alignment wrapText="1"/>
    </xf>
    <xf numFmtId="164" fontId="0" fillId="0" borderId="0" xfId="0" applyNumberFormat="1"/>
    <xf numFmtId="164" fontId="5" fillId="0" borderId="0" xfId="0" applyNumberFormat="1" applyFont="1"/>
    <xf numFmtId="166" fontId="0" fillId="0" borderId="0" xfId="0" applyNumberFormat="1" applyAlignment="1">
      <alignment wrapText="1"/>
    </xf>
    <xf numFmtId="166" fontId="2" fillId="0" borderId="0" xfId="0" applyNumberFormat="1" applyFont="1"/>
    <xf numFmtId="38" fontId="0" fillId="0" borderId="0" xfId="0" applyNumberFormat="1"/>
    <xf numFmtId="0" fontId="2" fillId="2" borderId="0" xfId="0" applyFont="1" applyFill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wrapText="1"/>
    </xf>
    <xf numFmtId="166" fontId="2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wrapText="1"/>
    </xf>
    <xf numFmtId="164" fontId="8" fillId="2" borderId="0" xfId="0" applyNumberFormat="1" applyFont="1" applyFill="1" applyAlignment="1">
      <alignment wrapText="1"/>
    </xf>
    <xf numFmtId="0" fontId="8" fillId="0" borderId="0" xfId="0" applyFont="1"/>
    <xf numFmtId="164" fontId="2" fillId="2" borderId="2" xfId="0" applyNumberFormat="1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65" fontId="0" fillId="0" borderId="2" xfId="1" applyNumberFormat="1" applyFont="1" applyBorder="1"/>
    <xf numFmtId="165" fontId="2" fillId="2" borderId="0" xfId="1" applyNumberFormat="1" applyFont="1" applyFill="1" applyAlignment="1">
      <alignment wrapText="1"/>
    </xf>
    <xf numFmtId="165" fontId="7" fillId="0" borderId="0" xfId="1" applyNumberFormat="1" applyFont="1"/>
    <xf numFmtId="165" fontId="0" fillId="0" borderId="2" xfId="0" applyNumberFormat="1" applyBorder="1"/>
    <xf numFmtId="165" fontId="0" fillId="0" borderId="0" xfId="0" applyNumberFormat="1"/>
    <xf numFmtId="165" fontId="0" fillId="0" borderId="0" xfId="1" applyNumberFormat="1" applyFont="1" applyBorder="1"/>
    <xf numFmtId="167" fontId="0" fillId="0" borderId="0" xfId="3" applyNumberFormat="1" applyFont="1" applyBorder="1"/>
    <xf numFmtId="165" fontId="0" fillId="0" borderId="1" xfId="1" applyNumberFormat="1" applyFont="1" applyBorder="1"/>
    <xf numFmtId="0" fontId="2" fillId="0" borderId="0" xfId="0" applyFont="1"/>
    <xf numFmtId="165" fontId="2" fillId="0" borderId="0" xfId="1" applyNumberFormat="1" applyFont="1" applyBorder="1"/>
    <xf numFmtId="165" fontId="2" fillId="0" borderId="3" xfId="1" applyNumberFormat="1" applyFont="1" applyFill="1" applyBorder="1"/>
    <xf numFmtId="165" fontId="2" fillId="0" borderId="0" xfId="1" applyNumberFormat="1" applyFont="1" applyFill="1" applyBorder="1"/>
    <xf numFmtId="167" fontId="2" fillId="0" borderId="3" xfId="3" applyNumberFormat="1" applyFont="1" applyBorder="1"/>
    <xf numFmtId="44" fontId="2" fillId="0" borderId="0" xfId="3" applyFont="1"/>
    <xf numFmtId="165" fontId="2" fillId="0" borderId="0" xfId="1" applyNumberFormat="1" applyFont="1" applyFill="1" applyAlignment="1">
      <alignment wrapText="1"/>
    </xf>
    <xf numFmtId="165" fontId="8" fillId="0" borderId="0" xfId="1" applyNumberFormat="1" applyFont="1" applyBorder="1"/>
    <xf numFmtId="167" fontId="2" fillId="2" borderId="2" xfId="3" applyNumberFormat="1" applyFont="1" applyFill="1" applyBorder="1" applyAlignment="1">
      <alignment wrapText="1"/>
    </xf>
    <xf numFmtId="165" fontId="2" fillId="2" borderId="2" xfId="1" applyNumberFormat="1" applyFont="1" applyFill="1" applyBorder="1" applyAlignment="1">
      <alignment wrapText="1"/>
    </xf>
    <xf numFmtId="167" fontId="2" fillId="2" borderId="0" xfId="3" applyNumberFormat="1" applyFont="1" applyFill="1" applyAlignment="1">
      <alignment wrapText="1"/>
    </xf>
    <xf numFmtId="168" fontId="2" fillId="0" borderId="3" xfId="3" applyNumberFormat="1" applyFont="1" applyBorder="1"/>
    <xf numFmtId="167" fontId="0" fillId="0" borderId="0" xfId="0" applyNumberFormat="1"/>
    <xf numFmtId="167" fontId="8" fillId="0" borderId="0" xfId="3" applyNumberFormat="1" applyFont="1" applyBorder="1"/>
    <xf numFmtId="9" fontId="8" fillId="0" borderId="0" xfId="4" applyFont="1" applyBorder="1"/>
    <xf numFmtId="0" fontId="9" fillId="0" borderId="0" xfId="0" applyFont="1"/>
    <xf numFmtId="165" fontId="2" fillId="2" borderId="0" xfId="1" applyNumberFormat="1" applyFont="1" applyFill="1" applyBorder="1" applyAlignment="1">
      <alignment wrapText="1"/>
    </xf>
    <xf numFmtId="166" fontId="2" fillId="0" borderId="0" xfId="0" applyNumberFormat="1" applyFont="1" applyAlignment="1">
      <alignment wrapText="1"/>
    </xf>
    <xf numFmtId="166" fontId="0" fillId="0" borderId="0" xfId="0" applyNumberFormat="1"/>
    <xf numFmtId="167" fontId="2" fillId="0" borderId="0" xfId="3" applyNumberFormat="1" applyFont="1" applyFill="1" applyBorder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165" fontId="0" fillId="0" borderId="0" xfId="1" applyNumberFormat="1" applyFont="1" applyFill="1" applyBorder="1"/>
    <xf numFmtId="164" fontId="8" fillId="0" borderId="0" xfId="0" applyNumberFormat="1" applyFont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0" fontId="10" fillId="0" borderId="0" xfId="5" applyFont="1"/>
    <xf numFmtId="165" fontId="11" fillId="0" borderId="0" xfId="6" applyNumberFormat="1" applyFont="1" applyFill="1" applyAlignment="1">
      <alignment horizontal="right" vertical="top"/>
    </xf>
    <xf numFmtId="165" fontId="10" fillId="0" borderId="0" xfId="5" applyNumberFormat="1" applyFont="1"/>
    <xf numFmtId="165" fontId="11" fillId="0" borderId="0" xfId="6" applyNumberFormat="1" applyFont="1" applyBorder="1" applyAlignment="1">
      <alignment horizontal="right" vertical="top"/>
    </xf>
    <xf numFmtId="165" fontId="11" fillId="0" borderId="4" xfId="6" applyNumberFormat="1" applyFont="1" applyBorder="1" applyAlignment="1">
      <alignment horizontal="right" vertical="top"/>
    </xf>
    <xf numFmtId="49" fontId="12" fillId="0" borderId="0" xfId="5" applyNumberFormat="1" applyFont="1" applyAlignment="1">
      <alignment vertical="top"/>
    </xf>
    <xf numFmtId="165" fontId="13" fillId="0" borderId="0" xfId="6" applyNumberFormat="1" applyFont="1" applyBorder="1"/>
    <xf numFmtId="165" fontId="13" fillId="0" borderId="0" xfId="6" applyNumberFormat="1" applyFont="1"/>
    <xf numFmtId="165" fontId="11" fillId="0" borderId="5" xfId="6" applyNumberFormat="1" applyFont="1" applyBorder="1" applyAlignment="1">
      <alignment horizontal="right" vertical="top"/>
    </xf>
    <xf numFmtId="165" fontId="11" fillId="0" borderId="0" xfId="6" applyNumberFormat="1" applyFont="1" applyAlignment="1">
      <alignment horizontal="right" vertical="top"/>
    </xf>
    <xf numFmtId="169" fontId="13" fillId="0" borderId="0" xfId="6" applyNumberFormat="1" applyFont="1" applyBorder="1"/>
    <xf numFmtId="169" fontId="13" fillId="0" borderId="0" xfId="6" applyNumberFormat="1" applyFont="1"/>
    <xf numFmtId="169" fontId="10" fillId="0" borderId="0" xfId="5" applyNumberFormat="1" applyFont="1"/>
    <xf numFmtId="165" fontId="11" fillId="0" borderId="0" xfId="6" applyNumberFormat="1" applyFont="1" applyFill="1" applyBorder="1" applyAlignment="1">
      <alignment horizontal="right" vertical="top"/>
    </xf>
    <xf numFmtId="165" fontId="13" fillId="0" borderId="0" xfId="5" applyNumberFormat="1" applyFont="1"/>
    <xf numFmtId="41" fontId="14" fillId="0" borderId="0" xfId="5" applyNumberFormat="1" applyFont="1"/>
    <xf numFmtId="170" fontId="13" fillId="0" borderId="0" xfId="5" applyNumberFormat="1" applyFont="1"/>
    <xf numFmtId="41" fontId="13" fillId="0" borderId="0" xfId="7" applyNumberFormat="1" applyFont="1" applyFill="1"/>
    <xf numFmtId="167" fontId="14" fillId="0" borderId="0" xfId="7" applyNumberFormat="1" applyFont="1"/>
    <xf numFmtId="165" fontId="14" fillId="0" borderId="0" xfId="5" applyNumberFormat="1" applyFont="1"/>
    <xf numFmtId="37" fontId="13" fillId="0" borderId="0" xfId="7" applyNumberFormat="1" applyFont="1" applyFill="1" applyAlignment="1">
      <alignment horizontal="right"/>
    </xf>
    <xf numFmtId="0" fontId="13" fillId="0" borderId="0" xfId="5" applyFont="1"/>
    <xf numFmtId="49" fontId="15" fillId="0" borderId="0" xfId="5" applyNumberFormat="1" applyFont="1" applyAlignment="1">
      <alignment horizontal="center"/>
    </xf>
    <xf numFmtId="49" fontId="15" fillId="0" borderId="1" xfId="5" applyNumberFormat="1" applyFont="1" applyBorder="1" applyAlignment="1">
      <alignment horizontal="center"/>
    </xf>
    <xf numFmtId="0" fontId="16" fillId="0" borderId="0" xfId="5" applyFont="1"/>
    <xf numFmtId="0" fontId="3" fillId="0" borderId="0" xfId="0" applyFont="1"/>
    <xf numFmtId="0" fontId="0" fillId="0" borderId="0" xfId="0" applyAlignment="1">
      <alignment wrapText="1"/>
    </xf>
    <xf numFmtId="166" fontId="2" fillId="0" borderId="0" xfId="0" applyNumberFormat="1" applyFont="1"/>
    <xf numFmtId="166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49" fontId="12" fillId="0" borderId="0" xfId="5" applyNumberFormat="1" applyFont="1" applyAlignment="1">
      <alignment vertical="top"/>
    </xf>
    <xf numFmtId="49" fontId="12" fillId="0" borderId="0" xfId="5" applyNumberFormat="1" applyFont="1" applyAlignment="1">
      <alignment horizontal="left" vertical="top"/>
    </xf>
    <xf numFmtId="49" fontId="16" fillId="0" borderId="0" xfId="5" applyNumberFormat="1" applyFont="1" applyAlignment="1">
      <alignment vertical="top"/>
    </xf>
    <xf numFmtId="0" fontId="17" fillId="0" borderId="0" xfId="5" applyFont="1" applyAlignment="1">
      <alignment vertical="top"/>
    </xf>
    <xf numFmtId="0" fontId="16" fillId="0" borderId="0" xfId="5" applyFont="1"/>
  </cellXfs>
  <cellStyles count="8">
    <cellStyle name="Comma" xfId="1" builtinId="3"/>
    <cellStyle name="Comma 2" xfId="2" xr:uid="{EF3D4A1A-6D99-4342-AD1E-3F7A3C2988E0}"/>
    <cellStyle name="Comma 3" xfId="6" xr:uid="{11BCF739-2E50-4CC7-86AA-539F5DD42B11}"/>
    <cellStyle name="Currency" xfId="3" builtinId="4"/>
    <cellStyle name="Currency 2" xfId="7" xr:uid="{68C9CC4C-9456-44F8-9096-4F1A7E47CD09}"/>
    <cellStyle name="Normal" xfId="0" builtinId="0"/>
    <cellStyle name="Normal 2" xfId="5" xr:uid="{5146E556-44C3-4291-9402-66C775884238}"/>
    <cellStyle name="Percent" xfId="4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ED5B-BDE3-42E0-BB15-1495C0021263}">
  <sheetPr>
    <pageSetUpPr fitToPage="1"/>
  </sheetPr>
  <dimension ref="A1:U70"/>
  <sheetViews>
    <sheetView tabSelected="1" zoomScale="120" zoomScaleNormal="120" workbookViewId="0">
      <pane xSplit="1" ySplit="5" topLeftCell="N6" activePane="bottomRight" state="frozen"/>
      <selection activeCell="F36" sqref="F36"/>
      <selection pane="topRight" activeCell="F36" sqref="F36"/>
      <selection pane="bottomLeft" activeCell="F36" sqref="F36"/>
      <selection pane="bottomRight" activeCell="U60" sqref="U60"/>
    </sheetView>
  </sheetViews>
  <sheetFormatPr defaultRowHeight="14.25" customHeight="1" x14ac:dyDescent="0.25"/>
  <cols>
    <col min="1" max="1" width="59.42578125" bestFit="1" customWidth="1"/>
    <col min="2" max="3" width="10.42578125" hidden="1" customWidth="1"/>
    <col min="4" max="4" width="10.140625" hidden="1" customWidth="1"/>
    <col min="5" max="6" width="10.42578125" hidden="1" customWidth="1"/>
    <col min="7" max="10" width="10.140625" hidden="1" customWidth="1"/>
    <col min="11" max="11" width="10.42578125" hidden="1" customWidth="1"/>
    <col min="12" max="13" width="11.7109375" hidden="1" customWidth="1"/>
    <col min="14" max="14" width="15.28515625" customWidth="1"/>
    <col min="15" max="15" width="13.140625" customWidth="1"/>
    <col min="16" max="16" width="12.85546875" bestFit="1" customWidth="1"/>
    <col min="17" max="17" width="5.7109375" customWidth="1"/>
    <col min="18" max="18" width="18.28515625" customWidth="1"/>
    <col min="19" max="19" width="46.28515625" style="13" customWidth="1"/>
    <col min="21" max="21" width="10.5703125" bestFit="1" customWidth="1"/>
  </cols>
  <sheetData>
    <row r="1" spans="1:21" ht="21" x14ac:dyDescent="0.35">
      <c r="A1" s="79" t="s">
        <v>67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1"/>
    </row>
    <row r="2" spans="1:21" ht="21" x14ac:dyDescent="0.35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0"/>
      <c r="R2" s="4"/>
    </row>
    <row r="3" spans="1:21" ht="1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2"/>
    </row>
    <row r="4" spans="1:21" ht="60" x14ac:dyDescent="0.25">
      <c r="A4" s="1"/>
      <c r="B4" s="1" t="s">
        <v>65</v>
      </c>
      <c r="C4" s="1" t="s">
        <v>64</v>
      </c>
      <c r="D4" s="1" t="s">
        <v>63</v>
      </c>
      <c r="E4" s="1" t="s">
        <v>62</v>
      </c>
      <c r="F4" s="1" t="s">
        <v>61</v>
      </c>
      <c r="G4" s="1" t="s">
        <v>60</v>
      </c>
      <c r="H4" s="1" t="s">
        <v>59</v>
      </c>
      <c r="I4" s="1" t="s">
        <v>58</v>
      </c>
      <c r="J4" s="1" t="s">
        <v>57</v>
      </c>
      <c r="K4" s="1" t="s">
        <v>56</v>
      </c>
      <c r="L4" s="1" t="s">
        <v>55</v>
      </c>
      <c r="M4" s="1" t="s">
        <v>54</v>
      </c>
      <c r="N4" s="12" t="s">
        <v>66</v>
      </c>
      <c r="O4" s="12" t="s">
        <v>106</v>
      </c>
      <c r="P4" s="12" t="s">
        <v>0</v>
      </c>
      <c r="Q4" s="46"/>
      <c r="R4" s="12" t="s">
        <v>115</v>
      </c>
    </row>
    <row r="5" spans="1:21" ht="1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6"/>
      <c r="R5" s="1"/>
    </row>
    <row r="6" spans="1:21" ht="26.25" x14ac:dyDescent="0.25">
      <c r="A6" s="7" t="s">
        <v>2</v>
      </c>
      <c r="B6" s="7">
        <v>82162</v>
      </c>
      <c r="C6" s="7">
        <v>0</v>
      </c>
      <c r="D6" s="7">
        <v>243151</v>
      </c>
      <c r="E6" s="7">
        <v>329582.46999999997</v>
      </c>
      <c r="F6" s="7">
        <v>87700.5</v>
      </c>
      <c r="G6" s="7">
        <v>51000</v>
      </c>
      <c r="H6" s="7">
        <v>35000</v>
      </c>
      <c r="I6" s="7">
        <v>43617.52</v>
      </c>
      <c r="J6" s="7">
        <v>67189.75</v>
      </c>
      <c r="K6" s="7">
        <v>75000</v>
      </c>
      <c r="L6" s="7">
        <v>86000</v>
      </c>
      <c r="M6" s="7">
        <v>40000</v>
      </c>
      <c r="N6" s="3">
        <f>SUM(B6:M6)</f>
        <v>1140403.24</v>
      </c>
      <c r="O6" s="7">
        <v>1307004</v>
      </c>
      <c r="P6" s="11">
        <f>N6-O6</f>
        <v>-166600.76</v>
      </c>
      <c r="Q6" s="47"/>
      <c r="R6" s="3">
        <f>N6</f>
        <v>1140403.24</v>
      </c>
      <c r="S6" s="14" t="s">
        <v>123</v>
      </c>
    </row>
    <row r="7" spans="1:21" ht="15" x14ac:dyDescent="0.25">
      <c r="A7" s="7" t="s">
        <v>3</v>
      </c>
      <c r="B7" s="7">
        <v>3112.18</v>
      </c>
      <c r="C7" s="7">
        <v>1167.5</v>
      </c>
      <c r="D7" s="7">
        <v>5591.72</v>
      </c>
      <c r="E7" s="7">
        <v>500</v>
      </c>
      <c r="F7" s="7">
        <v>1080</v>
      </c>
      <c r="G7" s="7">
        <v>760</v>
      </c>
      <c r="H7" s="7">
        <v>640</v>
      </c>
      <c r="I7" s="7">
        <v>560</v>
      </c>
      <c r="J7" s="7">
        <v>680</v>
      </c>
      <c r="K7" s="7">
        <v>920</v>
      </c>
      <c r="L7" s="7">
        <v>0</v>
      </c>
      <c r="M7" s="7">
        <v>0</v>
      </c>
      <c r="N7" s="7">
        <f t="shared" ref="N7:N10" si="0">SUM(B7:M7)</f>
        <v>15011.400000000001</v>
      </c>
      <c r="O7" s="7">
        <v>11153</v>
      </c>
      <c r="P7" s="11">
        <f>N7-O7</f>
        <v>3858.4000000000015</v>
      </c>
      <c r="Q7" s="47"/>
      <c r="R7" s="3">
        <f t="shared" ref="R7:R10" si="1">N7</f>
        <v>15011.400000000001</v>
      </c>
    </row>
    <row r="8" spans="1:21" ht="15" x14ac:dyDescent="0.25">
      <c r="A8" s="7" t="s">
        <v>4</v>
      </c>
      <c r="B8" s="7">
        <v>7877.55</v>
      </c>
      <c r="C8" s="7">
        <v>26655.13</v>
      </c>
      <c r="D8" s="7">
        <v>49758.81</v>
      </c>
      <c r="E8" s="7">
        <v>157314.28</v>
      </c>
      <c r="F8" s="7">
        <v>79711.16</v>
      </c>
      <c r="G8" s="7">
        <v>157935.04999999999</v>
      </c>
      <c r="H8" s="7">
        <v>666985.46</v>
      </c>
      <c r="I8" s="7">
        <v>750221.95</v>
      </c>
      <c r="J8" s="7">
        <v>561543.51</v>
      </c>
      <c r="K8" s="7">
        <v>27712</v>
      </c>
      <c r="L8" s="7">
        <v>11000</v>
      </c>
      <c r="M8" s="7">
        <v>0</v>
      </c>
      <c r="N8" s="7">
        <f t="shared" si="0"/>
        <v>2496714.9</v>
      </c>
      <c r="O8" s="7">
        <v>1818409</v>
      </c>
      <c r="P8" s="11">
        <f>N8-O8</f>
        <v>678305.89999999991</v>
      </c>
      <c r="Q8" s="47"/>
      <c r="R8" s="3">
        <f>2496715-850000</f>
        <v>1646715</v>
      </c>
      <c r="S8" s="14" t="s">
        <v>113</v>
      </c>
    </row>
    <row r="9" spans="1:21" ht="15" x14ac:dyDescent="0.25">
      <c r="A9" s="7" t="s">
        <v>5</v>
      </c>
      <c r="B9" s="7">
        <v>0</v>
      </c>
      <c r="C9" s="7">
        <v>7650</v>
      </c>
      <c r="D9" s="7">
        <v>15000</v>
      </c>
      <c r="E9" s="7">
        <v>20373.560000000001</v>
      </c>
      <c r="F9" s="7">
        <v>0</v>
      </c>
      <c r="G9" s="7">
        <v>123309.25</v>
      </c>
      <c r="H9" s="7">
        <v>8102</v>
      </c>
      <c r="I9" s="7">
        <v>6000</v>
      </c>
      <c r="J9" s="7">
        <v>500</v>
      </c>
      <c r="K9" s="7">
        <v>8108</v>
      </c>
      <c r="L9" s="7">
        <v>60000</v>
      </c>
      <c r="M9" s="7">
        <v>0</v>
      </c>
      <c r="N9" s="7">
        <f t="shared" si="0"/>
        <v>249042.81</v>
      </c>
      <c r="O9" s="7">
        <v>293526</v>
      </c>
      <c r="P9" s="11">
        <f>N9-O9</f>
        <v>-44483.19</v>
      </c>
      <c r="Q9" s="47"/>
      <c r="R9" s="3">
        <f t="shared" si="1"/>
        <v>249042.81</v>
      </c>
    </row>
    <row r="10" spans="1:21" ht="15" x14ac:dyDescent="0.25">
      <c r="A10" s="7" t="s">
        <v>6</v>
      </c>
      <c r="B10" s="7">
        <v>0</v>
      </c>
      <c r="C10" s="7">
        <v>0</v>
      </c>
      <c r="D10" s="7">
        <v>0</v>
      </c>
      <c r="E10" s="7">
        <v>0</v>
      </c>
      <c r="F10" s="7">
        <v>300</v>
      </c>
      <c r="G10" s="7">
        <v>1000</v>
      </c>
      <c r="H10" s="7">
        <v>0</v>
      </c>
      <c r="I10" s="7">
        <v>0</v>
      </c>
      <c r="J10" s="7">
        <v>85</v>
      </c>
      <c r="K10" s="7">
        <v>0</v>
      </c>
      <c r="L10" s="7">
        <v>0</v>
      </c>
      <c r="M10" s="7">
        <v>16000</v>
      </c>
      <c r="N10" s="7">
        <f t="shared" si="0"/>
        <v>17385</v>
      </c>
      <c r="O10" s="7">
        <v>14908</v>
      </c>
      <c r="P10" s="11">
        <f>N10-O10</f>
        <v>2477</v>
      </c>
      <c r="Q10" s="47"/>
      <c r="R10" s="3">
        <f t="shared" si="1"/>
        <v>17385</v>
      </c>
    </row>
    <row r="11" spans="1:21" ht="15" x14ac:dyDescent="0.25">
      <c r="A11" s="2" t="s">
        <v>8</v>
      </c>
      <c r="B11" s="2">
        <f t="shared" ref="B11:P11" si="2">SUM(B6:B10)</f>
        <v>93151.73</v>
      </c>
      <c r="C11" s="2">
        <f t="shared" si="2"/>
        <v>35472.630000000005</v>
      </c>
      <c r="D11" s="2">
        <f t="shared" si="2"/>
        <v>313501.53000000003</v>
      </c>
      <c r="E11" s="2">
        <f t="shared" si="2"/>
        <v>507770.31</v>
      </c>
      <c r="F11" s="2">
        <f t="shared" si="2"/>
        <v>168791.66</v>
      </c>
      <c r="G11" s="2">
        <f t="shared" si="2"/>
        <v>334004.3</v>
      </c>
      <c r="H11" s="2">
        <f t="shared" si="2"/>
        <v>710727.46</v>
      </c>
      <c r="I11" s="2">
        <f t="shared" si="2"/>
        <v>800399.47</v>
      </c>
      <c r="J11" s="2">
        <f t="shared" si="2"/>
        <v>629998.26</v>
      </c>
      <c r="K11" s="2">
        <f t="shared" si="2"/>
        <v>111740</v>
      </c>
      <c r="L11" s="2">
        <f t="shared" si="2"/>
        <v>157000</v>
      </c>
      <c r="M11" s="2">
        <f t="shared" si="2"/>
        <v>56000</v>
      </c>
      <c r="N11" s="38">
        <f t="shared" si="2"/>
        <v>3918557.35</v>
      </c>
      <c r="O11" s="19">
        <f t="shared" si="2"/>
        <v>3445000</v>
      </c>
      <c r="P11" s="19">
        <f t="shared" si="2"/>
        <v>473557.34999999992</v>
      </c>
      <c r="Q11" s="46"/>
      <c r="R11" s="38">
        <f t="shared" ref="R11" si="3">SUM(R6:R10)</f>
        <v>3068557.4499999997</v>
      </c>
      <c r="U11" s="7"/>
    </row>
    <row r="12" spans="1:21" ht="15" hidden="1" x14ac:dyDescent="0.25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46"/>
      <c r="R12" s="1"/>
    </row>
    <row r="13" spans="1:21" ht="15" hidden="1" x14ac:dyDescent="0.25">
      <c r="A13" s="7" t="s">
        <v>10</v>
      </c>
      <c r="B13" s="7">
        <v>110892.07</v>
      </c>
      <c r="C13" s="7">
        <v>128935.46</v>
      </c>
      <c r="D13" s="7">
        <v>108446.68</v>
      </c>
      <c r="E13" s="7">
        <v>125039.59</v>
      </c>
      <c r="F13" s="7">
        <v>113395.61</v>
      </c>
      <c r="G13" s="7">
        <v>113395.61</v>
      </c>
      <c r="H13" s="7">
        <v>146936.85</v>
      </c>
      <c r="I13" s="7">
        <v>124331.09</v>
      </c>
      <c r="J13" s="7">
        <v>132142.91</v>
      </c>
      <c r="K13" s="7">
        <v>136291.69</v>
      </c>
      <c r="L13" s="7">
        <v>136291.69</v>
      </c>
      <c r="M13" s="7">
        <v>136291.69</v>
      </c>
      <c r="N13" s="7">
        <v>1512390.94</v>
      </c>
      <c r="O13" s="7">
        <v>1635500</v>
      </c>
      <c r="P13" s="11">
        <f t="shared" ref="P13:P55" si="4">N13-O13</f>
        <v>-123109.06000000006</v>
      </c>
      <c r="Q13" s="47"/>
      <c r="R13" s="7">
        <v>1512390.94</v>
      </c>
    </row>
    <row r="14" spans="1:21" ht="15" hidden="1" x14ac:dyDescent="0.25">
      <c r="A14" s="7" t="s">
        <v>11</v>
      </c>
      <c r="B14" s="7">
        <v>2242.66</v>
      </c>
      <c r="C14" s="7">
        <v>0</v>
      </c>
      <c r="D14" s="7">
        <v>-5964.71</v>
      </c>
      <c r="E14" s="7">
        <v>3617.67</v>
      </c>
      <c r="F14" s="7">
        <v>5062.38</v>
      </c>
      <c r="G14" s="7">
        <v>-6936.34</v>
      </c>
      <c r="H14" s="7">
        <v>4150.58</v>
      </c>
      <c r="I14" s="7">
        <v>9343.3700000000008</v>
      </c>
      <c r="J14" s="7">
        <v>6232.99</v>
      </c>
      <c r="K14" s="7">
        <v>0</v>
      </c>
      <c r="L14" s="7">
        <v>0</v>
      </c>
      <c r="M14" s="7">
        <v>0</v>
      </c>
      <c r="N14" s="7">
        <v>17748.599999999999</v>
      </c>
      <c r="O14" s="7">
        <v>0</v>
      </c>
      <c r="P14" s="11">
        <f t="shared" si="4"/>
        <v>17748.599999999999</v>
      </c>
      <c r="Q14" s="47"/>
      <c r="R14" s="7">
        <v>17748.599999999999</v>
      </c>
    </row>
    <row r="15" spans="1:21" ht="15" hidden="1" x14ac:dyDescent="0.25">
      <c r="A15" s="7" t="s">
        <v>12</v>
      </c>
      <c r="B15" s="7">
        <v>9154.5</v>
      </c>
      <c r="C15" s="7">
        <v>10277.870000000001</v>
      </c>
      <c r="D15" s="7">
        <v>8635.7199999999993</v>
      </c>
      <c r="E15" s="7">
        <v>10062.4</v>
      </c>
      <c r="F15" s="7">
        <v>8705.8799999999992</v>
      </c>
      <c r="G15" s="7">
        <v>8674.75</v>
      </c>
      <c r="H15" s="7">
        <v>18257.66</v>
      </c>
      <c r="I15" s="7">
        <v>10532.55</v>
      </c>
      <c r="J15" s="7">
        <v>12453.4</v>
      </c>
      <c r="K15" s="7">
        <v>11816.94</v>
      </c>
      <c r="L15" s="7">
        <v>11816.94</v>
      </c>
      <c r="M15" s="7">
        <v>11816.94</v>
      </c>
      <c r="N15" s="7">
        <v>132205.54999999999</v>
      </c>
      <c r="O15" s="7">
        <v>141803</v>
      </c>
      <c r="P15" s="11">
        <f t="shared" si="4"/>
        <v>-9597.4500000000116</v>
      </c>
      <c r="Q15" s="47"/>
      <c r="R15" s="7">
        <v>132205.54999999999</v>
      </c>
    </row>
    <row r="16" spans="1:21" ht="15" hidden="1" x14ac:dyDescent="0.25">
      <c r="A16" s="7" t="s">
        <v>13</v>
      </c>
      <c r="B16" s="7">
        <v>11180.16</v>
      </c>
      <c r="C16" s="7">
        <v>13974.32</v>
      </c>
      <c r="D16" s="7">
        <v>12752.74</v>
      </c>
      <c r="E16" s="7">
        <v>16672.849999999999</v>
      </c>
      <c r="F16" s="7">
        <v>16519.71</v>
      </c>
      <c r="G16" s="7">
        <v>16519.7</v>
      </c>
      <c r="H16" s="7">
        <v>16618.38</v>
      </c>
      <c r="I16" s="7">
        <v>17957.25</v>
      </c>
      <c r="J16" s="7">
        <v>17937.53</v>
      </c>
      <c r="K16" s="7">
        <v>18589.59</v>
      </c>
      <c r="L16" s="7">
        <v>18589.59</v>
      </c>
      <c r="M16" s="7">
        <v>18589.59</v>
      </c>
      <c r="N16" s="7">
        <v>195901.41</v>
      </c>
      <c r="O16" s="7">
        <v>223075</v>
      </c>
      <c r="P16" s="11">
        <f t="shared" si="4"/>
        <v>-27173.589999999997</v>
      </c>
      <c r="Q16" s="47"/>
      <c r="R16" s="7">
        <v>195901.41</v>
      </c>
    </row>
    <row r="17" spans="1:18" ht="15" hidden="1" x14ac:dyDescent="0.25">
      <c r="A17" s="7" t="s">
        <v>14</v>
      </c>
      <c r="B17" s="7">
        <v>0</v>
      </c>
      <c r="C17" s="7">
        <v>525.05999999999995</v>
      </c>
      <c r="D17" s="7">
        <v>0</v>
      </c>
      <c r="E17" s="7">
        <v>0</v>
      </c>
      <c r="F17" s="7">
        <v>0</v>
      </c>
      <c r="G17" s="7">
        <v>12000</v>
      </c>
      <c r="H17" s="7">
        <v>4850</v>
      </c>
      <c r="I17" s="7">
        <v>3500</v>
      </c>
      <c r="J17" s="7">
        <v>0</v>
      </c>
      <c r="K17" s="7">
        <v>0</v>
      </c>
      <c r="L17" s="7">
        <v>5000</v>
      </c>
      <c r="M17" s="7">
        <v>0</v>
      </c>
      <c r="N17" s="7">
        <v>25875.06</v>
      </c>
      <c r="O17" s="7">
        <v>20000</v>
      </c>
      <c r="P17" s="11">
        <f t="shared" si="4"/>
        <v>5875.0600000000013</v>
      </c>
      <c r="Q17" s="47"/>
      <c r="R17" s="7">
        <v>25875.06</v>
      </c>
    </row>
    <row r="18" spans="1:18" ht="15" hidden="1" x14ac:dyDescent="0.25">
      <c r="A18" s="7" t="s">
        <v>15</v>
      </c>
      <c r="B18" s="7">
        <v>86.25</v>
      </c>
      <c r="C18" s="7">
        <v>92</v>
      </c>
      <c r="D18" s="7">
        <v>1265.72</v>
      </c>
      <c r="E18" s="7">
        <v>9123.99</v>
      </c>
      <c r="F18" s="7">
        <v>4392.7299999999996</v>
      </c>
      <c r="G18" s="7">
        <v>92</v>
      </c>
      <c r="H18" s="7">
        <v>30012.77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45065.46</v>
      </c>
      <c r="O18" s="7">
        <v>40000</v>
      </c>
      <c r="P18" s="11">
        <f t="shared" si="4"/>
        <v>5065.4599999999991</v>
      </c>
      <c r="Q18" s="47"/>
      <c r="R18" s="7">
        <v>45065.46</v>
      </c>
    </row>
    <row r="19" spans="1:18" ht="15" hidden="1" x14ac:dyDescent="0.25">
      <c r="A19" s="7" t="s">
        <v>16</v>
      </c>
      <c r="B19" s="7">
        <v>351.15</v>
      </c>
      <c r="C19" s="7">
        <v>493.2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171.2</v>
      </c>
      <c r="M19" s="7">
        <v>0</v>
      </c>
      <c r="N19" s="7">
        <v>1015.55</v>
      </c>
      <c r="O19" s="7">
        <v>1020</v>
      </c>
      <c r="P19" s="11">
        <f t="shared" si="4"/>
        <v>-4.4500000000000455</v>
      </c>
      <c r="Q19" s="47"/>
      <c r="R19" s="7">
        <v>1015.55</v>
      </c>
    </row>
    <row r="20" spans="1:18" ht="15" hidden="1" x14ac:dyDescent="0.25">
      <c r="A20" s="7" t="s">
        <v>17</v>
      </c>
      <c r="B20" s="7">
        <v>712.16</v>
      </c>
      <c r="C20" s="7">
        <v>712.16</v>
      </c>
      <c r="D20" s="7">
        <v>712.16</v>
      </c>
      <c r="E20" s="7">
        <v>1114.4000000000001</v>
      </c>
      <c r="F20" s="7">
        <v>758.32</v>
      </c>
      <c r="G20" s="7">
        <v>1006.5</v>
      </c>
      <c r="H20" s="7">
        <v>965.21</v>
      </c>
      <c r="I20" s="7">
        <v>758.32</v>
      </c>
      <c r="J20" s="7">
        <v>937.4</v>
      </c>
      <c r="K20" s="7">
        <v>482</v>
      </c>
      <c r="L20" s="7">
        <v>482</v>
      </c>
      <c r="M20" s="7">
        <v>482</v>
      </c>
      <c r="N20" s="7">
        <v>9122.6299999999992</v>
      </c>
      <c r="O20" s="7">
        <v>5784</v>
      </c>
      <c r="P20" s="11">
        <f t="shared" si="4"/>
        <v>3338.6299999999992</v>
      </c>
      <c r="Q20" s="47"/>
      <c r="R20" s="7">
        <v>9122.6299999999992</v>
      </c>
    </row>
    <row r="21" spans="1:18" ht="15" hidden="1" x14ac:dyDescent="0.25">
      <c r="A21" s="7" t="s">
        <v>18</v>
      </c>
      <c r="B21" s="7">
        <v>1128</v>
      </c>
      <c r="C21" s="7">
        <v>2079.3000000000002</v>
      </c>
      <c r="D21" s="7">
        <v>7050.75</v>
      </c>
      <c r="E21" s="7">
        <v>8552.25</v>
      </c>
      <c r="F21" s="7">
        <v>3472.5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22282.799999999999</v>
      </c>
      <c r="O21" s="7">
        <v>21450</v>
      </c>
      <c r="P21" s="11">
        <f t="shared" si="4"/>
        <v>832.79999999999927</v>
      </c>
      <c r="Q21" s="47"/>
      <c r="R21" s="7">
        <v>22282.799999999999</v>
      </c>
    </row>
    <row r="22" spans="1:18" ht="15" hidden="1" x14ac:dyDescent="0.25">
      <c r="A22" s="7" t="s">
        <v>19</v>
      </c>
      <c r="B22" s="7">
        <v>6150</v>
      </c>
      <c r="C22" s="7">
        <v>4843</v>
      </c>
      <c r="D22" s="7">
        <v>4451.5</v>
      </c>
      <c r="E22" s="7">
        <v>3194</v>
      </c>
      <c r="F22" s="7">
        <v>2469.5</v>
      </c>
      <c r="G22" s="7">
        <v>873.5</v>
      </c>
      <c r="H22" s="7">
        <v>5106</v>
      </c>
      <c r="I22" s="7">
        <v>3861.5</v>
      </c>
      <c r="J22" s="7">
        <v>2553.5</v>
      </c>
      <c r="K22" s="7">
        <v>2500</v>
      </c>
      <c r="L22" s="7">
        <v>2500</v>
      </c>
      <c r="M22" s="7">
        <v>2500</v>
      </c>
      <c r="N22" s="7">
        <v>41002.5</v>
      </c>
      <c r="O22" s="7">
        <v>45250</v>
      </c>
      <c r="P22" s="11">
        <f t="shared" si="4"/>
        <v>-4247.5</v>
      </c>
      <c r="Q22" s="47"/>
      <c r="R22" s="7">
        <v>41002.5</v>
      </c>
    </row>
    <row r="23" spans="1:18" ht="15" hidden="1" x14ac:dyDescent="0.25">
      <c r="A23" s="7" t="s">
        <v>20</v>
      </c>
      <c r="B23" s="7">
        <v>690</v>
      </c>
      <c r="C23" s="7">
        <v>2062.5</v>
      </c>
      <c r="D23" s="7">
        <v>3510</v>
      </c>
      <c r="E23" s="7">
        <v>3962.5</v>
      </c>
      <c r="F23" s="7">
        <v>7250</v>
      </c>
      <c r="G23" s="7">
        <v>2180</v>
      </c>
      <c r="H23" s="7">
        <v>1440</v>
      </c>
      <c r="I23" s="7">
        <v>790</v>
      </c>
      <c r="J23" s="7">
        <v>2070</v>
      </c>
      <c r="K23" s="7">
        <v>2850</v>
      </c>
      <c r="L23" s="7">
        <v>5790</v>
      </c>
      <c r="M23" s="7">
        <v>1050</v>
      </c>
      <c r="N23" s="7">
        <v>33645</v>
      </c>
      <c r="O23" s="7">
        <v>33380</v>
      </c>
      <c r="P23" s="11">
        <f t="shared" si="4"/>
        <v>265</v>
      </c>
      <c r="Q23" s="47"/>
      <c r="R23" s="7">
        <v>33645</v>
      </c>
    </row>
    <row r="24" spans="1:18" ht="15" hidden="1" x14ac:dyDescent="0.25">
      <c r="A24" s="7" t="s">
        <v>21</v>
      </c>
      <c r="B24" s="7">
        <v>0</v>
      </c>
      <c r="C24" s="7">
        <v>0</v>
      </c>
      <c r="D24" s="7">
        <v>0</v>
      </c>
      <c r="E24" s="7">
        <v>675</v>
      </c>
      <c r="F24" s="7">
        <v>5568.75</v>
      </c>
      <c r="G24" s="7">
        <v>0</v>
      </c>
      <c r="H24" s="7">
        <v>0</v>
      </c>
      <c r="I24" s="7">
        <v>0</v>
      </c>
      <c r="J24" s="7">
        <v>20080</v>
      </c>
      <c r="K24" s="7">
        <v>23850</v>
      </c>
      <c r="L24" s="7">
        <v>3500</v>
      </c>
      <c r="M24" s="7">
        <v>15000</v>
      </c>
      <c r="N24" s="7">
        <v>68673.75</v>
      </c>
      <c r="O24" s="7">
        <v>79461</v>
      </c>
      <c r="P24" s="11">
        <f t="shared" si="4"/>
        <v>-10787.25</v>
      </c>
      <c r="Q24" s="47"/>
      <c r="R24" s="7">
        <v>68673.75</v>
      </c>
    </row>
    <row r="25" spans="1:18" ht="15" hidden="1" x14ac:dyDescent="0.25">
      <c r="A25" s="7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1187.5</v>
      </c>
      <c r="G25" s="7">
        <v>0</v>
      </c>
      <c r="H25" s="7">
        <v>0</v>
      </c>
      <c r="I25" s="7">
        <v>3200</v>
      </c>
      <c r="J25" s="7">
        <v>0</v>
      </c>
      <c r="K25" s="7">
        <v>2200</v>
      </c>
      <c r="L25" s="7">
        <v>850</v>
      </c>
      <c r="M25" s="7">
        <v>0</v>
      </c>
      <c r="N25" s="7">
        <v>7437.5</v>
      </c>
      <c r="O25" s="7">
        <v>8875</v>
      </c>
      <c r="P25" s="11">
        <f t="shared" si="4"/>
        <v>-1437.5</v>
      </c>
      <c r="Q25" s="47"/>
      <c r="R25" s="7">
        <v>7437.5</v>
      </c>
    </row>
    <row r="26" spans="1:18" ht="15" hidden="1" x14ac:dyDescent="0.25">
      <c r="A26" s="7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103</v>
      </c>
      <c r="J26" s="7">
        <v>0</v>
      </c>
      <c r="K26" s="7">
        <v>0</v>
      </c>
      <c r="L26" s="7">
        <v>0</v>
      </c>
      <c r="M26" s="7">
        <v>0</v>
      </c>
      <c r="N26" s="7">
        <v>103</v>
      </c>
      <c r="O26" s="7">
        <v>10000</v>
      </c>
      <c r="P26" s="11">
        <f t="shared" si="4"/>
        <v>-9897</v>
      </c>
      <c r="Q26" s="47"/>
      <c r="R26" s="7">
        <v>103</v>
      </c>
    </row>
    <row r="27" spans="1:18" ht="15" hidden="1" x14ac:dyDescent="0.25">
      <c r="A27" s="7" t="s">
        <v>24</v>
      </c>
      <c r="B27" s="7">
        <v>10316.25</v>
      </c>
      <c r="C27" s="7">
        <v>16326.5</v>
      </c>
      <c r="D27" s="7">
        <v>26737.5</v>
      </c>
      <c r="E27" s="7">
        <v>10400</v>
      </c>
      <c r="F27" s="7">
        <v>25180</v>
      </c>
      <c r="G27" s="7">
        <v>12352.5</v>
      </c>
      <c r="H27" s="7">
        <v>14205</v>
      </c>
      <c r="I27" s="7">
        <v>7780.32</v>
      </c>
      <c r="J27" s="7">
        <v>5137.5</v>
      </c>
      <c r="K27" s="7">
        <v>4428.5</v>
      </c>
      <c r="L27" s="7">
        <v>4428.5</v>
      </c>
      <c r="M27" s="7">
        <v>10928.5</v>
      </c>
      <c r="N27" s="7">
        <v>148221.07</v>
      </c>
      <c r="O27" s="7">
        <v>89292</v>
      </c>
      <c r="P27" s="11">
        <f t="shared" si="4"/>
        <v>58929.070000000007</v>
      </c>
      <c r="Q27" s="47"/>
      <c r="R27" s="7">
        <v>148221.07</v>
      </c>
    </row>
    <row r="28" spans="1:18" ht="15" hidden="1" x14ac:dyDescent="0.25">
      <c r="A28" s="7" t="s">
        <v>25</v>
      </c>
      <c r="B28" s="7">
        <v>13455.08</v>
      </c>
      <c r="C28" s="7">
        <v>3686.79</v>
      </c>
      <c r="D28" s="7">
        <v>3771.79</v>
      </c>
      <c r="E28" s="7">
        <v>13455.08</v>
      </c>
      <c r="F28" s="7">
        <v>3686.79</v>
      </c>
      <c r="G28" s="7">
        <v>16949.419999999998</v>
      </c>
      <c r="H28" s="7">
        <v>209.9</v>
      </c>
      <c r="I28" s="7">
        <v>3716.6</v>
      </c>
      <c r="J28" s="7">
        <v>2839.56</v>
      </c>
      <c r="K28" s="7">
        <v>14275</v>
      </c>
      <c r="L28" s="7">
        <v>4025</v>
      </c>
      <c r="M28" s="7">
        <v>4025</v>
      </c>
      <c r="N28" s="7">
        <v>84096.01</v>
      </c>
      <c r="O28" s="7">
        <v>87208</v>
      </c>
      <c r="P28" s="11">
        <f t="shared" si="4"/>
        <v>-3111.9900000000052</v>
      </c>
      <c r="Q28" s="47"/>
      <c r="R28" s="7">
        <v>84096.01</v>
      </c>
    </row>
    <row r="29" spans="1:18" ht="15" hidden="1" x14ac:dyDescent="0.25">
      <c r="A29" s="7" t="s">
        <v>26</v>
      </c>
      <c r="B29" s="7">
        <v>0</v>
      </c>
      <c r="C29" s="7">
        <v>464.67</v>
      </c>
      <c r="D29" s="7">
        <v>3899</v>
      </c>
      <c r="E29" s="7">
        <v>85</v>
      </c>
      <c r="F29" s="7">
        <v>0</v>
      </c>
      <c r="G29" s="7">
        <v>0</v>
      </c>
      <c r="H29" s="7">
        <v>435</v>
      </c>
      <c r="I29" s="7">
        <v>85</v>
      </c>
      <c r="J29" s="7">
        <v>0</v>
      </c>
      <c r="K29" s="7">
        <v>0</v>
      </c>
      <c r="L29" s="7">
        <v>500</v>
      </c>
      <c r="M29" s="7">
        <v>500</v>
      </c>
      <c r="N29" s="7">
        <v>5968.67</v>
      </c>
      <c r="O29" s="7">
        <v>7664</v>
      </c>
      <c r="P29" s="11">
        <f t="shared" si="4"/>
        <v>-1695.33</v>
      </c>
      <c r="Q29" s="47"/>
      <c r="R29" s="7">
        <v>5968.67</v>
      </c>
    </row>
    <row r="30" spans="1:18" ht="15" hidden="1" x14ac:dyDescent="0.25">
      <c r="A30" s="7" t="s">
        <v>27</v>
      </c>
      <c r="B30" s="7">
        <v>632.78</v>
      </c>
      <c r="C30" s="7">
        <v>748.56</v>
      </c>
      <c r="D30" s="7">
        <v>1465.76</v>
      </c>
      <c r="E30" s="7">
        <v>1608.43</v>
      </c>
      <c r="F30" s="7">
        <v>1659.33</v>
      </c>
      <c r="G30" s="7">
        <v>1014.85</v>
      </c>
      <c r="H30" s="7">
        <v>640.78</v>
      </c>
      <c r="I30" s="7">
        <v>2098.04</v>
      </c>
      <c r="J30" s="7">
        <v>807.03</v>
      </c>
      <c r="K30" s="7">
        <v>1095.8399999999999</v>
      </c>
      <c r="L30" s="7">
        <v>1095.8399999999999</v>
      </c>
      <c r="M30" s="7">
        <v>1095.8399999999999</v>
      </c>
      <c r="N30" s="7">
        <v>13963.08</v>
      </c>
      <c r="O30" s="7">
        <v>13150</v>
      </c>
      <c r="P30" s="11">
        <f t="shared" si="4"/>
        <v>813.07999999999993</v>
      </c>
      <c r="Q30" s="47"/>
      <c r="R30" s="7">
        <v>13963.08</v>
      </c>
    </row>
    <row r="31" spans="1:18" ht="15" hidden="1" x14ac:dyDescent="0.25">
      <c r="A31" s="7" t="s">
        <v>28</v>
      </c>
      <c r="B31" s="7">
        <v>1754.17</v>
      </c>
      <c r="C31" s="7">
        <v>1592.88</v>
      </c>
      <c r="D31" s="7">
        <v>1580.17</v>
      </c>
      <c r="E31" s="7">
        <v>1754.17</v>
      </c>
      <c r="F31" s="7">
        <v>1580.17</v>
      </c>
      <c r="G31" s="7">
        <v>1677.11</v>
      </c>
      <c r="H31" s="7">
        <v>2346.48</v>
      </c>
      <c r="I31" s="7">
        <v>195.3</v>
      </c>
      <c r="J31" s="7">
        <v>195.3</v>
      </c>
      <c r="K31" s="7">
        <v>1754.17</v>
      </c>
      <c r="L31" s="7">
        <v>1754.17</v>
      </c>
      <c r="M31" s="7">
        <v>1754.17</v>
      </c>
      <c r="N31" s="7">
        <v>17938.259999999998</v>
      </c>
      <c r="O31" s="7">
        <v>21050</v>
      </c>
      <c r="P31" s="11">
        <f t="shared" si="4"/>
        <v>-3111.7400000000016</v>
      </c>
      <c r="Q31" s="47"/>
      <c r="R31" s="7">
        <v>17938.259999999998</v>
      </c>
    </row>
    <row r="32" spans="1:18" ht="15" hidden="1" x14ac:dyDescent="0.25">
      <c r="A32" s="7" t="s">
        <v>29</v>
      </c>
      <c r="B32" s="7">
        <v>2296.19</v>
      </c>
      <c r="C32" s="7">
        <v>2331.89</v>
      </c>
      <c r="D32" s="7">
        <v>2261.3200000000002</v>
      </c>
      <c r="E32" s="7">
        <v>2384.81</v>
      </c>
      <c r="F32" s="7">
        <v>3280.85</v>
      </c>
      <c r="G32" s="7">
        <v>2001.99</v>
      </c>
      <c r="H32" s="7">
        <v>2728.29</v>
      </c>
      <c r="I32" s="7">
        <v>2286.16</v>
      </c>
      <c r="J32" s="7">
        <v>2728</v>
      </c>
      <c r="K32" s="7">
        <v>3106.09</v>
      </c>
      <c r="L32" s="7">
        <v>3106.09</v>
      </c>
      <c r="M32" s="7">
        <v>3106.09</v>
      </c>
      <c r="N32" s="7">
        <v>31617.77</v>
      </c>
      <c r="O32" s="7">
        <v>37273</v>
      </c>
      <c r="P32" s="11">
        <f t="shared" si="4"/>
        <v>-5655.23</v>
      </c>
      <c r="Q32" s="47"/>
      <c r="R32" s="7">
        <v>31617.77</v>
      </c>
    </row>
    <row r="33" spans="1:18" ht="15" hidden="1" x14ac:dyDescent="0.25">
      <c r="A33" s="7" t="s">
        <v>30</v>
      </c>
      <c r="B33" s="7">
        <v>12397.9</v>
      </c>
      <c r="C33" s="7">
        <v>321.91000000000003</v>
      </c>
      <c r="D33" s="7">
        <v>693.62</v>
      </c>
      <c r="E33" s="7">
        <v>4490.51</v>
      </c>
      <c r="F33" s="7">
        <v>1152.9100000000001</v>
      </c>
      <c r="G33" s="7">
        <v>5395.91</v>
      </c>
      <c r="H33" s="7">
        <v>40511.910000000003</v>
      </c>
      <c r="I33" s="7">
        <v>585.94000000000005</v>
      </c>
      <c r="J33" s="7">
        <v>3123.75</v>
      </c>
      <c r="K33" s="7">
        <v>1835.84</v>
      </c>
      <c r="L33" s="7">
        <v>1039.8399999999999</v>
      </c>
      <c r="M33" s="7">
        <v>4239.84</v>
      </c>
      <c r="N33" s="7">
        <v>75789.88</v>
      </c>
      <c r="O33" s="7">
        <v>71949</v>
      </c>
      <c r="P33" s="11">
        <f t="shared" si="4"/>
        <v>3840.8800000000047</v>
      </c>
      <c r="Q33" s="47"/>
      <c r="R33" s="7">
        <v>75789.88</v>
      </c>
    </row>
    <row r="34" spans="1:18" ht="15" hidden="1" x14ac:dyDescent="0.25">
      <c r="A34" s="7" t="s">
        <v>31</v>
      </c>
      <c r="B34" s="7">
        <v>140.41999999999999</v>
      </c>
      <c r="C34" s="7">
        <v>316.73</v>
      </c>
      <c r="D34" s="7">
        <v>390.9</v>
      </c>
      <c r="E34" s="7">
        <v>387.66</v>
      </c>
      <c r="F34" s="7">
        <v>223.08</v>
      </c>
      <c r="G34" s="7">
        <v>187.43</v>
      </c>
      <c r="H34" s="7">
        <v>-471.25</v>
      </c>
      <c r="I34" s="7">
        <v>661.66</v>
      </c>
      <c r="J34" s="7">
        <v>4969.8900000000003</v>
      </c>
      <c r="K34" s="7">
        <v>221.84</v>
      </c>
      <c r="L34" s="7">
        <v>229.62</v>
      </c>
      <c r="M34" s="7">
        <v>327.08999999999997</v>
      </c>
      <c r="N34" s="7">
        <v>7585.07</v>
      </c>
      <c r="O34" s="7">
        <v>11593</v>
      </c>
      <c r="P34" s="11">
        <f t="shared" si="4"/>
        <v>-4007.9300000000003</v>
      </c>
      <c r="Q34" s="47"/>
      <c r="R34" s="7">
        <v>7585.07</v>
      </c>
    </row>
    <row r="35" spans="1:18" ht="15" hidden="1" x14ac:dyDescent="0.25">
      <c r="A35" s="7" t="s">
        <v>32</v>
      </c>
      <c r="B35" s="7">
        <v>0</v>
      </c>
      <c r="C35" s="7">
        <v>0</v>
      </c>
      <c r="D35" s="7">
        <v>0</v>
      </c>
      <c r="E35" s="7">
        <v>51077.1</v>
      </c>
      <c r="F35" s="7">
        <v>9969</v>
      </c>
      <c r="G35" s="7">
        <v>-14724.65</v>
      </c>
      <c r="H35" s="7">
        <v>0</v>
      </c>
      <c r="I35" s="7">
        <v>0</v>
      </c>
      <c r="J35" s="7">
        <v>0</v>
      </c>
      <c r="K35" s="7">
        <v>277</v>
      </c>
      <c r="L35" s="7">
        <v>0</v>
      </c>
      <c r="M35" s="7">
        <v>0</v>
      </c>
      <c r="N35" s="7">
        <v>46598.45</v>
      </c>
      <c r="O35" s="7">
        <v>50444</v>
      </c>
      <c r="P35" s="11">
        <f t="shared" si="4"/>
        <v>-3845.5500000000029</v>
      </c>
      <c r="Q35" s="47"/>
      <c r="R35" s="7">
        <v>46598.45</v>
      </c>
    </row>
    <row r="36" spans="1:18" ht="15" hidden="1" x14ac:dyDescent="0.25">
      <c r="A36" s="7" t="s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147.59</v>
      </c>
      <c r="I36" s="7">
        <v>0</v>
      </c>
      <c r="J36" s="7">
        <v>0</v>
      </c>
      <c r="K36" s="7">
        <v>0</v>
      </c>
      <c r="L36" s="7">
        <v>359</v>
      </c>
      <c r="M36" s="7">
        <v>0</v>
      </c>
      <c r="N36" s="7">
        <v>506.59</v>
      </c>
      <c r="O36" s="7">
        <v>429</v>
      </c>
      <c r="P36" s="11">
        <f t="shared" si="4"/>
        <v>77.589999999999975</v>
      </c>
      <c r="Q36" s="47"/>
      <c r="R36" s="7">
        <v>506.59</v>
      </c>
    </row>
    <row r="37" spans="1:18" ht="15" hidden="1" x14ac:dyDescent="0.25">
      <c r="A37" s="7" t="s">
        <v>34</v>
      </c>
      <c r="B37" s="7">
        <v>1526.88</v>
      </c>
      <c r="C37" s="7">
        <v>1393.8</v>
      </c>
      <c r="D37" s="7">
        <v>1381.2</v>
      </c>
      <c r="E37" s="7">
        <v>2183.62</v>
      </c>
      <c r="F37" s="7">
        <v>1486.72</v>
      </c>
      <c r="G37" s="7">
        <v>1486.72</v>
      </c>
      <c r="H37" s="7">
        <v>1828.29</v>
      </c>
      <c r="I37" s="7">
        <v>1922.17</v>
      </c>
      <c r="J37" s="7">
        <v>1870.04</v>
      </c>
      <c r="K37" s="7">
        <v>1875</v>
      </c>
      <c r="L37" s="7">
        <v>1875</v>
      </c>
      <c r="M37" s="7">
        <v>1875</v>
      </c>
      <c r="N37" s="7">
        <v>20704.439999999999</v>
      </c>
      <c r="O37" s="7">
        <v>22500</v>
      </c>
      <c r="P37" s="11">
        <f t="shared" si="4"/>
        <v>-1795.5600000000013</v>
      </c>
      <c r="Q37" s="47"/>
      <c r="R37" s="7">
        <v>20704.439999999999</v>
      </c>
    </row>
    <row r="38" spans="1:18" ht="15" hidden="1" x14ac:dyDescent="0.25">
      <c r="A38" s="7" t="s">
        <v>35</v>
      </c>
      <c r="B38" s="7">
        <v>10845.88</v>
      </c>
      <c r="C38" s="7">
        <v>3305</v>
      </c>
      <c r="D38" s="7">
        <v>4000</v>
      </c>
      <c r="E38" s="7">
        <v>2500</v>
      </c>
      <c r="F38" s="7">
        <v>8937.75</v>
      </c>
      <c r="G38" s="7">
        <v>7634.94</v>
      </c>
      <c r="H38" s="7">
        <v>4235.45</v>
      </c>
      <c r="I38" s="7">
        <v>1250</v>
      </c>
      <c r="J38" s="7">
        <v>0</v>
      </c>
      <c r="K38" s="7">
        <v>0</v>
      </c>
      <c r="L38" s="8"/>
      <c r="M38" s="7">
        <v>0</v>
      </c>
      <c r="N38" s="7">
        <f>SUM(B38:M38)</f>
        <v>42709.02</v>
      </c>
      <c r="O38" s="7">
        <v>120876</v>
      </c>
      <c r="P38" s="11">
        <f t="shared" si="4"/>
        <v>-78166.98000000001</v>
      </c>
      <c r="Q38" s="47"/>
      <c r="R38" s="7">
        <f>SUM(F38:Q38)</f>
        <v>107476.18</v>
      </c>
    </row>
    <row r="39" spans="1:18" ht="15" hidden="1" x14ac:dyDescent="0.25">
      <c r="A39" s="7" t="s">
        <v>36</v>
      </c>
      <c r="B39" s="7">
        <v>-39501.4</v>
      </c>
      <c r="C39" s="7">
        <v>0</v>
      </c>
      <c r="D39" s="7">
        <v>0</v>
      </c>
      <c r="E39" s="7">
        <v>211806.78</v>
      </c>
      <c r="F39" s="7">
        <v>0</v>
      </c>
      <c r="G39" s="7">
        <v>4705.74</v>
      </c>
      <c r="H39" s="7">
        <v>-2738</v>
      </c>
      <c r="I39" s="7">
        <v>26000</v>
      </c>
      <c r="J39" s="7">
        <v>425</v>
      </c>
      <c r="K39" s="7">
        <v>0</v>
      </c>
      <c r="L39" s="7">
        <v>25000</v>
      </c>
      <c r="M39" s="7">
        <v>0</v>
      </c>
      <c r="N39" s="7">
        <v>225698.12</v>
      </c>
      <c r="O39" s="7">
        <v>212534</v>
      </c>
      <c r="P39" s="11">
        <f t="shared" si="4"/>
        <v>13164.119999999995</v>
      </c>
      <c r="Q39" s="47"/>
      <c r="R39" s="7">
        <v>225698.12</v>
      </c>
    </row>
    <row r="40" spans="1:18" ht="15" hidden="1" x14ac:dyDescent="0.25">
      <c r="A40" s="7" t="s">
        <v>37</v>
      </c>
      <c r="B40" s="7">
        <v>0</v>
      </c>
      <c r="C40" s="7">
        <v>0</v>
      </c>
      <c r="D40" s="7">
        <v>0</v>
      </c>
      <c r="E40" s="7">
        <v>29500</v>
      </c>
      <c r="F40" s="7">
        <v>0</v>
      </c>
      <c r="G40" s="7">
        <v>0</v>
      </c>
      <c r="H40" s="7">
        <v>0</v>
      </c>
      <c r="I40" s="7">
        <v>-500</v>
      </c>
      <c r="J40" s="7">
        <v>30610.400000000001</v>
      </c>
      <c r="K40" s="7">
        <v>0</v>
      </c>
      <c r="L40" s="7">
        <v>0</v>
      </c>
      <c r="M40" s="7">
        <v>0</v>
      </c>
      <c r="N40" s="7">
        <v>59610.400000000001</v>
      </c>
      <c r="O40" s="7">
        <v>14000</v>
      </c>
      <c r="P40" s="11">
        <f t="shared" si="4"/>
        <v>45610.400000000001</v>
      </c>
      <c r="Q40" s="47"/>
      <c r="R40" s="7">
        <v>59610.400000000001</v>
      </c>
    </row>
    <row r="41" spans="1:18" ht="15" hidden="1" x14ac:dyDescent="0.25">
      <c r="A41" s="7" t="s">
        <v>38</v>
      </c>
      <c r="B41" s="7">
        <v>2278.69</v>
      </c>
      <c r="C41" s="7">
        <v>4832.8100000000004</v>
      </c>
      <c r="D41" s="7">
        <v>0</v>
      </c>
      <c r="E41" s="7">
        <v>2310</v>
      </c>
      <c r="F41" s="7">
        <v>416.01</v>
      </c>
      <c r="G41" s="7">
        <v>1131.98</v>
      </c>
      <c r="H41" s="7">
        <v>12983.3</v>
      </c>
      <c r="I41" s="7">
        <v>2258.2600000000002</v>
      </c>
      <c r="J41" s="7">
        <v>1189.24</v>
      </c>
      <c r="K41" s="7">
        <v>11070</v>
      </c>
      <c r="L41" s="7">
        <v>40000</v>
      </c>
      <c r="M41" s="7">
        <v>9495</v>
      </c>
      <c r="N41" s="7">
        <v>87965.29</v>
      </c>
      <c r="O41" s="7">
        <v>80288.5</v>
      </c>
      <c r="P41" s="11">
        <f t="shared" si="4"/>
        <v>7676.7899999999936</v>
      </c>
      <c r="Q41" s="47"/>
      <c r="R41" s="7">
        <v>87965.29</v>
      </c>
    </row>
    <row r="42" spans="1:18" ht="15" hidden="1" x14ac:dyDescent="0.25">
      <c r="A42" s="7" t="s">
        <v>39</v>
      </c>
      <c r="B42" s="7">
        <v>5505.25</v>
      </c>
      <c r="C42" s="7">
        <v>5570.17</v>
      </c>
      <c r="D42" s="7">
        <v>523.67999999999995</v>
      </c>
      <c r="E42" s="7">
        <v>95430.03</v>
      </c>
      <c r="F42" s="7">
        <v>1242.49</v>
      </c>
      <c r="G42" s="7">
        <v>5316.76</v>
      </c>
      <c r="H42" s="7">
        <v>17513.68</v>
      </c>
      <c r="I42" s="7">
        <v>107936.8</v>
      </c>
      <c r="J42" s="7">
        <v>27613.82</v>
      </c>
      <c r="K42" s="7">
        <v>58850</v>
      </c>
      <c r="L42" s="7">
        <v>2970</v>
      </c>
      <c r="M42" s="7">
        <v>13396.2</v>
      </c>
      <c r="N42" s="7">
        <v>341868.88</v>
      </c>
      <c r="O42" s="7">
        <v>341335</v>
      </c>
      <c r="P42" s="11">
        <f t="shared" si="4"/>
        <v>533.88000000000466</v>
      </c>
      <c r="Q42" s="47"/>
      <c r="R42" s="7">
        <v>341868.88</v>
      </c>
    </row>
    <row r="43" spans="1:18" ht="15" hidden="1" x14ac:dyDescent="0.25">
      <c r="A43" s="7" t="s">
        <v>40</v>
      </c>
      <c r="B43" s="7">
        <v>2930.2</v>
      </c>
      <c r="C43" s="7">
        <v>4113.55</v>
      </c>
      <c r="D43" s="7">
        <v>0</v>
      </c>
      <c r="E43" s="7">
        <v>1352.4</v>
      </c>
      <c r="F43" s="7">
        <v>1352.4</v>
      </c>
      <c r="G43" s="7">
        <v>0</v>
      </c>
      <c r="H43" s="7">
        <v>1352.4</v>
      </c>
      <c r="I43" s="7">
        <v>160</v>
      </c>
      <c r="J43" s="7">
        <v>0</v>
      </c>
      <c r="K43" s="7">
        <v>1000</v>
      </c>
      <c r="L43" s="7">
        <v>0</v>
      </c>
      <c r="M43" s="7">
        <v>10000</v>
      </c>
      <c r="N43" s="7">
        <v>22260.95</v>
      </c>
      <c r="O43" s="7">
        <v>27990</v>
      </c>
      <c r="P43" s="11">
        <f t="shared" si="4"/>
        <v>-5729.0499999999993</v>
      </c>
      <c r="Q43" s="47"/>
      <c r="R43" s="7">
        <v>22260.95</v>
      </c>
    </row>
    <row r="44" spans="1:18" ht="15" hidden="1" x14ac:dyDescent="0.25">
      <c r="A44" s="7" t="s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2085</v>
      </c>
      <c r="P44" s="11">
        <f t="shared" si="4"/>
        <v>-2085</v>
      </c>
      <c r="Q44" s="47"/>
      <c r="R44" s="7">
        <v>0</v>
      </c>
    </row>
    <row r="45" spans="1:18" ht="15" hidden="1" x14ac:dyDescent="0.25">
      <c r="A45" s="7" t="s">
        <v>42</v>
      </c>
      <c r="B45" s="7">
        <v>0</v>
      </c>
      <c r="C45" s="7">
        <v>0</v>
      </c>
      <c r="D45" s="7">
        <v>16.489999999999998</v>
      </c>
      <c r="E45" s="7">
        <v>8.9499999999999993</v>
      </c>
      <c r="F45" s="7">
        <v>0</v>
      </c>
      <c r="G45" s="7">
        <v>0</v>
      </c>
      <c r="H45" s="7">
        <v>0</v>
      </c>
      <c r="I45" s="7">
        <v>0</v>
      </c>
      <c r="J45" s="7">
        <v>100.73</v>
      </c>
      <c r="K45" s="7">
        <v>2666.67</v>
      </c>
      <c r="L45" s="7">
        <v>666.67</v>
      </c>
      <c r="M45" s="7">
        <v>1666.67</v>
      </c>
      <c r="N45" s="7">
        <v>5126.18</v>
      </c>
      <c r="O45" s="7">
        <v>23000</v>
      </c>
      <c r="P45" s="11">
        <f t="shared" si="4"/>
        <v>-17873.82</v>
      </c>
      <c r="Q45" s="47"/>
      <c r="R45" s="7">
        <v>5126.18</v>
      </c>
    </row>
    <row r="46" spans="1:18" ht="15" hidden="1" x14ac:dyDescent="0.25">
      <c r="A46" s="7" t="s">
        <v>43</v>
      </c>
      <c r="B46" s="7">
        <v>0</v>
      </c>
      <c r="C46" s="7">
        <v>40</v>
      </c>
      <c r="D46" s="7">
        <v>116.49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1600</v>
      </c>
      <c r="L46" s="7">
        <v>0</v>
      </c>
      <c r="M46" s="7">
        <v>0</v>
      </c>
      <c r="N46" s="7">
        <v>1756.49</v>
      </c>
      <c r="O46" s="7">
        <v>1700</v>
      </c>
      <c r="P46" s="11">
        <f t="shared" si="4"/>
        <v>56.490000000000009</v>
      </c>
      <c r="Q46" s="47"/>
      <c r="R46" s="7">
        <v>1756.49</v>
      </c>
    </row>
    <row r="47" spans="1:18" ht="15" hidden="1" x14ac:dyDescent="0.25">
      <c r="A47" s="7" t="s">
        <v>44</v>
      </c>
      <c r="B47" s="7">
        <v>127.44</v>
      </c>
      <c r="C47" s="7">
        <v>43.24</v>
      </c>
      <c r="D47" s="7">
        <v>0</v>
      </c>
      <c r="E47" s="7">
        <v>0</v>
      </c>
      <c r="F47" s="7">
        <v>42.34</v>
      </c>
      <c r="G47" s="7">
        <v>0</v>
      </c>
      <c r="H47" s="7">
        <v>0</v>
      </c>
      <c r="I47" s="7">
        <v>0</v>
      </c>
      <c r="J47" s="7">
        <v>0</v>
      </c>
      <c r="K47" s="7">
        <v>587.5</v>
      </c>
      <c r="L47" s="7">
        <v>587.5</v>
      </c>
      <c r="M47" s="7">
        <v>587.5</v>
      </c>
      <c r="N47" s="7">
        <v>1975.52</v>
      </c>
      <c r="O47" s="7">
        <v>7050</v>
      </c>
      <c r="P47" s="11">
        <f t="shared" si="4"/>
        <v>-5074.4799999999996</v>
      </c>
      <c r="Q47" s="47"/>
      <c r="R47" s="7">
        <v>1975.52</v>
      </c>
    </row>
    <row r="48" spans="1:18" ht="15" hidden="1" x14ac:dyDescent="0.25">
      <c r="A48" s="7" t="s">
        <v>45</v>
      </c>
      <c r="B48" s="7">
        <v>0</v>
      </c>
      <c r="C48" s="7">
        <v>1528.99</v>
      </c>
      <c r="D48" s="7">
        <v>875</v>
      </c>
      <c r="E48" s="7">
        <v>2650</v>
      </c>
      <c r="F48" s="7">
        <v>0</v>
      </c>
      <c r="G48" s="7">
        <v>0</v>
      </c>
      <c r="H48" s="7">
        <v>161</v>
      </c>
      <c r="I48" s="7">
        <v>150</v>
      </c>
      <c r="J48" s="7">
        <v>0</v>
      </c>
      <c r="K48" s="7">
        <v>320</v>
      </c>
      <c r="L48" s="7">
        <v>3700</v>
      </c>
      <c r="M48" s="7">
        <v>0</v>
      </c>
      <c r="N48" s="7">
        <v>9384.99</v>
      </c>
      <c r="O48" s="7">
        <v>6218</v>
      </c>
      <c r="P48" s="11">
        <f t="shared" si="4"/>
        <v>3166.99</v>
      </c>
      <c r="Q48" s="47"/>
      <c r="R48" s="7">
        <v>9384.99</v>
      </c>
    </row>
    <row r="49" spans="1:21" ht="15" hidden="1" x14ac:dyDescent="0.25">
      <c r="A49" s="7" t="s">
        <v>46</v>
      </c>
      <c r="B49" s="7">
        <v>0</v>
      </c>
      <c r="C49" s="7">
        <v>412.32</v>
      </c>
      <c r="D49" s="7">
        <v>-4.32</v>
      </c>
      <c r="E49" s="7">
        <v>20.97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600</v>
      </c>
      <c r="L49" s="7">
        <v>500</v>
      </c>
      <c r="M49" s="7">
        <v>1350</v>
      </c>
      <c r="N49" s="7">
        <v>2878.97</v>
      </c>
      <c r="O49" s="7">
        <v>12539</v>
      </c>
      <c r="P49" s="11">
        <f t="shared" si="4"/>
        <v>-9660.0300000000007</v>
      </c>
      <c r="Q49" s="47"/>
      <c r="R49" s="7">
        <v>2878.97</v>
      </c>
    </row>
    <row r="50" spans="1:21" ht="15" hidden="1" x14ac:dyDescent="0.25">
      <c r="A50" s="7" t="s">
        <v>47</v>
      </c>
      <c r="B50" s="7">
        <v>0</v>
      </c>
      <c r="C50" s="7">
        <v>1491.04</v>
      </c>
      <c r="D50" s="7">
        <v>0</v>
      </c>
      <c r="E50" s="7">
        <v>850.29</v>
      </c>
      <c r="F50" s="7">
        <v>1010</v>
      </c>
      <c r="G50" s="7">
        <v>290</v>
      </c>
      <c r="H50" s="7">
        <v>78</v>
      </c>
      <c r="I50" s="7">
        <v>20</v>
      </c>
      <c r="J50" s="7">
        <v>150</v>
      </c>
      <c r="K50" s="7">
        <v>3000</v>
      </c>
      <c r="L50" s="7">
        <v>100</v>
      </c>
      <c r="M50" s="7">
        <v>3200</v>
      </c>
      <c r="N50" s="7">
        <v>10189.33</v>
      </c>
      <c r="O50" s="7">
        <v>17251</v>
      </c>
      <c r="P50" s="11">
        <f t="shared" si="4"/>
        <v>-7061.67</v>
      </c>
      <c r="Q50" s="47"/>
      <c r="R50" s="7">
        <v>10189.33</v>
      </c>
    </row>
    <row r="51" spans="1:21" ht="15" hidden="1" x14ac:dyDescent="0.25">
      <c r="A51" s="7" t="s">
        <v>48</v>
      </c>
      <c r="B51" s="7">
        <v>0</v>
      </c>
      <c r="C51" s="7">
        <v>0</v>
      </c>
      <c r="D51" s="7">
        <v>330.75</v>
      </c>
      <c r="E51" s="7">
        <v>0</v>
      </c>
      <c r="F51" s="7">
        <v>2320.0500000000002</v>
      </c>
      <c r="G51" s="7">
        <v>172.41</v>
      </c>
      <c r="H51" s="7">
        <v>360.5</v>
      </c>
      <c r="I51" s="7">
        <v>480.2</v>
      </c>
      <c r="J51" s="7">
        <v>126.2</v>
      </c>
      <c r="K51" s="7">
        <v>829.75</v>
      </c>
      <c r="L51" s="7">
        <v>79.75</v>
      </c>
      <c r="M51" s="7">
        <v>129.75</v>
      </c>
      <c r="N51" s="7">
        <v>4829.3599999999997</v>
      </c>
      <c r="O51" s="7">
        <v>4999</v>
      </c>
      <c r="P51" s="11">
        <f t="shared" si="4"/>
        <v>-169.64000000000033</v>
      </c>
      <c r="Q51" s="47"/>
      <c r="R51" s="7">
        <v>4829.3599999999997</v>
      </c>
    </row>
    <row r="52" spans="1:21" ht="15" hidden="1" x14ac:dyDescent="0.25">
      <c r="A52" s="7" t="s">
        <v>49</v>
      </c>
      <c r="B52" s="7">
        <v>505.73</v>
      </c>
      <c r="C52" s="7">
        <v>4365.4399999999996</v>
      </c>
      <c r="D52" s="7">
        <v>1281.1300000000001</v>
      </c>
      <c r="E52" s="7">
        <v>538.42999999999995</v>
      </c>
      <c r="F52" s="7">
        <v>5802.62</v>
      </c>
      <c r="G52" s="7">
        <v>7782.44</v>
      </c>
      <c r="H52" s="7">
        <v>629.6</v>
      </c>
      <c r="I52" s="7">
        <v>463.92</v>
      </c>
      <c r="J52" s="7">
        <v>218.51</v>
      </c>
      <c r="K52" s="7">
        <v>3925.25</v>
      </c>
      <c r="L52" s="7">
        <v>364.25</v>
      </c>
      <c r="M52" s="7">
        <v>2667.25</v>
      </c>
      <c r="N52" s="7">
        <v>28544.57</v>
      </c>
      <c r="O52" s="7">
        <v>41486.5</v>
      </c>
      <c r="P52" s="11">
        <f t="shared" si="4"/>
        <v>-12941.93</v>
      </c>
      <c r="Q52" s="47"/>
      <c r="R52" s="7">
        <v>28544.57</v>
      </c>
    </row>
    <row r="53" spans="1:21" ht="15" hidden="1" x14ac:dyDescent="0.25">
      <c r="A53" s="7" t="s">
        <v>50</v>
      </c>
      <c r="B53" s="7">
        <v>0</v>
      </c>
      <c r="C53" s="7">
        <v>2056.2800000000002</v>
      </c>
      <c r="D53" s="7">
        <v>43.38</v>
      </c>
      <c r="E53" s="7">
        <v>0</v>
      </c>
      <c r="F53" s="7">
        <v>0</v>
      </c>
      <c r="G53" s="7">
        <v>0</v>
      </c>
      <c r="H53" s="7">
        <v>0</v>
      </c>
      <c r="I53" s="7">
        <v>2065.64</v>
      </c>
      <c r="J53" s="7">
        <v>0</v>
      </c>
      <c r="K53" s="7">
        <v>0</v>
      </c>
      <c r="L53" s="7">
        <v>0</v>
      </c>
      <c r="M53" s="7">
        <v>1000</v>
      </c>
      <c r="N53" s="7">
        <v>5165.3</v>
      </c>
      <c r="O53" s="7">
        <v>5236</v>
      </c>
      <c r="P53" s="11">
        <f t="shared" si="4"/>
        <v>-70.699999999999818</v>
      </c>
      <c r="Q53" s="47"/>
      <c r="R53" s="7">
        <v>5165.3</v>
      </c>
    </row>
    <row r="54" spans="1:21" ht="15" hidden="1" x14ac:dyDescent="0.25">
      <c r="A54" s="7" t="s">
        <v>51</v>
      </c>
      <c r="B54" s="7">
        <v>500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500</v>
      </c>
      <c r="O54" s="7">
        <v>750</v>
      </c>
      <c r="P54" s="11">
        <f t="shared" si="4"/>
        <v>-250</v>
      </c>
      <c r="Q54" s="47"/>
      <c r="R54" s="7">
        <v>500</v>
      </c>
    </row>
    <row r="55" spans="1:21" ht="15" hidden="1" x14ac:dyDescent="0.25">
      <c r="A55" s="7" t="s">
        <v>52</v>
      </c>
      <c r="B55" s="7">
        <v>0</v>
      </c>
      <c r="C55" s="7">
        <v>0</v>
      </c>
      <c r="D55" s="7">
        <v>24463.31</v>
      </c>
      <c r="E55" s="7">
        <v>0</v>
      </c>
      <c r="F55" s="7">
        <v>0</v>
      </c>
      <c r="G55" s="7">
        <v>24463.31</v>
      </c>
      <c r="H55" s="7">
        <v>0</v>
      </c>
      <c r="I55" s="7">
        <v>0</v>
      </c>
      <c r="J55" s="7">
        <v>24463.31</v>
      </c>
      <c r="K55" s="7">
        <v>0</v>
      </c>
      <c r="L55" s="7">
        <v>0</v>
      </c>
      <c r="M55" s="7">
        <v>25628</v>
      </c>
      <c r="N55" s="7">
        <v>99017.93</v>
      </c>
      <c r="O55" s="7">
        <v>102512</v>
      </c>
      <c r="P55" s="11">
        <f t="shared" si="4"/>
        <v>-3494.070000000007</v>
      </c>
      <c r="Q55" s="47"/>
      <c r="R55" s="7">
        <v>99017.93</v>
      </c>
    </row>
    <row r="56" spans="1:21" ht="15" hidden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1"/>
      <c r="Q56" s="47"/>
      <c r="R56" s="7"/>
    </row>
    <row r="57" spans="1:21" ht="15" hidden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7"/>
      <c r="R57" s="2"/>
    </row>
    <row r="58" spans="1:21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7"/>
      <c r="R58" s="2"/>
    </row>
    <row r="59" spans="1:21" ht="15" x14ac:dyDescent="0.25">
      <c r="A59" s="2" t="s">
        <v>53</v>
      </c>
      <c r="B59" s="2">
        <f t="shared" ref="B59:N59" si="5">SUM(B13:B55)</f>
        <v>168298.41000000006</v>
      </c>
      <c r="C59" s="2">
        <f t="shared" si="5"/>
        <v>218937.44000000006</v>
      </c>
      <c r="D59" s="2">
        <f t="shared" si="5"/>
        <v>214687.73</v>
      </c>
      <c r="E59" s="2">
        <f t="shared" si="5"/>
        <v>616808.88</v>
      </c>
      <c r="F59" s="2">
        <f t="shared" si="5"/>
        <v>238125.39</v>
      </c>
      <c r="G59" s="2">
        <f t="shared" si="5"/>
        <v>225644.58000000002</v>
      </c>
      <c r="H59" s="2">
        <f t="shared" si="5"/>
        <v>325495.37</v>
      </c>
      <c r="I59" s="2">
        <f t="shared" si="5"/>
        <v>333993.09000000003</v>
      </c>
      <c r="J59" s="2">
        <f t="shared" si="5"/>
        <v>300976.00999999995</v>
      </c>
      <c r="K59" s="2">
        <f t="shared" si="5"/>
        <v>311898.67</v>
      </c>
      <c r="L59" s="2">
        <f t="shared" si="5"/>
        <v>277372.64999999997</v>
      </c>
      <c r="M59" s="2">
        <f t="shared" si="5"/>
        <v>282702.12</v>
      </c>
      <c r="N59" s="2">
        <f t="shared" si="5"/>
        <v>3514940.34</v>
      </c>
      <c r="O59" s="2">
        <v>3700000</v>
      </c>
      <c r="P59" s="2">
        <f>N59-O59</f>
        <v>-185059.66000000015</v>
      </c>
      <c r="Q59" s="46"/>
      <c r="R59" s="2">
        <f>N59</f>
        <v>3514940.34</v>
      </c>
    </row>
    <row r="60" spans="1:21" ht="15" x14ac:dyDescent="0.25">
      <c r="A60" s="2" t="s">
        <v>77</v>
      </c>
      <c r="B60" s="2">
        <f t="shared" ref="B60:P60" si="6">B11-B59</f>
        <v>-75146.680000000066</v>
      </c>
      <c r="C60" s="2">
        <f t="shared" si="6"/>
        <v>-183464.81000000006</v>
      </c>
      <c r="D60" s="2">
        <f t="shared" si="6"/>
        <v>98813.800000000017</v>
      </c>
      <c r="E60" s="2">
        <f t="shared" si="6"/>
        <v>-109038.57</v>
      </c>
      <c r="F60" s="2">
        <f t="shared" si="6"/>
        <v>-69333.73000000001</v>
      </c>
      <c r="G60" s="2">
        <f t="shared" si="6"/>
        <v>108359.71999999997</v>
      </c>
      <c r="H60" s="2">
        <f t="shared" si="6"/>
        <v>385232.08999999997</v>
      </c>
      <c r="I60" s="2">
        <f t="shared" si="6"/>
        <v>466406.37999999995</v>
      </c>
      <c r="J60" s="2">
        <f t="shared" si="6"/>
        <v>329022.25000000006</v>
      </c>
      <c r="K60" s="2">
        <f t="shared" si="6"/>
        <v>-200158.66999999998</v>
      </c>
      <c r="L60" s="2">
        <f t="shared" si="6"/>
        <v>-120372.64999999997</v>
      </c>
      <c r="M60" s="2">
        <f t="shared" si="6"/>
        <v>-226702.12</v>
      </c>
      <c r="N60" s="19">
        <f t="shared" si="6"/>
        <v>403617.01000000024</v>
      </c>
      <c r="O60" s="19">
        <f t="shared" si="6"/>
        <v>-255000</v>
      </c>
      <c r="P60" s="19">
        <f t="shared" si="6"/>
        <v>658617.01</v>
      </c>
      <c r="Q60" s="46"/>
      <c r="R60" s="19">
        <f t="shared" ref="R60" si="7">R11-R59</f>
        <v>-446382.89000000013</v>
      </c>
      <c r="S60" s="14"/>
      <c r="U60" s="7"/>
    </row>
    <row r="61" spans="1:21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46"/>
      <c r="R61" s="2"/>
      <c r="S61" s="14"/>
      <c r="U61" s="7"/>
    </row>
    <row r="62" spans="1:21" ht="15" x14ac:dyDescent="0.25">
      <c r="A62" s="17" t="s">
        <v>7</v>
      </c>
      <c r="B62" s="17">
        <v>54400.4</v>
      </c>
      <c r="C62" s="17">
        <v>113391.53</v>
      </c>
      <c r="D62" s="17">
        <v>146189.54</v>
      </c>
      <c r="E62" s="17">
        <v>92768.82</v>
      </c>
      <c r="F62" s="17">
        <v>37388.339999999997</v>
      </c>
      <c r="G62" s="17">
        <f>29275.65-31</f>
        <v>29244.65</v>
      </c>
      <c r="H62" s="17">
        <f>66445.31-121</f>
        <v>66324.31</v>
      </c>
      <c r="I62" s="17">
        <f>78715.84+233</f>
        <v>78948.84</v>
      </c>
      <c r="J62" s="17">
        <f>13466.64-3213</f>
        <v>10253.64</v>
      </c>
      <c r="K62" s="17">
        <v>6666.67</v>
      </c>
      <c r="L62" s="17">
        <v>6666.67</v>
      </c>
      <c r="M62" s="17">
        <v>6666.67</v>
      </c>
      <c r="N62" s="17">
        <f>SUM(B62:M62)</f>
        <v>648910.08000000019</v>
      </c>
      <c r="O62" s="17">
        <v>80000</v>
      </c>
      <c r="P62" s="17">
        <f>N62-O62</f>
        <v>568910.08000000019</v>
      </c>
      <c r="Q62" s="47"/>
      <c r="R62" s="17">
        <f>N62</f>
        <v>648910.08000000019</v>
      </c>
    </row>
    <row r="63" spans="1:21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46"/>
      <c r="R63" s="2"/>
      <c r="S63" s="14"/>
      <c r="U63" s="7"/>
    </row>
    <row r="64" spans="1:21" ht="15" x14ac:dyDescent="0.25">
      <c r="A64" s="2" t="s">
        <v>78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8">
        <f>N60+N62</f>
        <v>1052527.0900000003</v>
      </c>
      <c r="O64" s="38">
        <f t="shared" ref="O64:P64" si="8">O60+O62</f>
        <v>-175000</v>
      </c>
      <c r="P64" s="38">
        <f t="shared" si="8"/>
        <v>1227527.0900000003</v>
      </c>
      <c r="Q64" s="46"/>
      <c r="R64" s="38">
        <f>R60+R62</f>
        <v>202527.19000000006</v>
      </c>
      <c r="S64" s="14"/>
      <c r="U64" s="7"/>
    </row>
    <row r="65" spans="1:21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5"/>
      <c r="O65" s="45"/>
      <c r="P65" s="45"/>
      <c r="Q65" s="46"/>
      <c r="R65" s="45"/>
      <c r="S65" s="14"/>
      <c r="U65" s="7"/>
    </row>
    <row r="66" spans="1:21" ht="45" x14ac:dyDescent="0.25">
      <c r="A66" s="2" t="s">
        <v>112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5">
        <v>-850000</v>
      </c>
      <c r="O66" s="45">
        <v>0</v>
      </c>
      <c r="P66" s="45">
        <f>N66-O66</f>
        <v>-850000</v>
      </c>
      <c r="Q66" s="46"/>
      <c r="R66" s="45"/>
      <c r="S66" s="14"/>
      <c r="U66" s="7"/>
    </row>
    <row r="67" spans="1:21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5"/>
      <c r="O67" s="45"/>
      <c r="P67" s="45"/>
      <c r="Q67" s="46"/>
      <c r="R67" s="45"/>
      <c r="S67" s="14"/>
      <c r="U67" s="7"/>
    </row>
    <row r="68" spans="1:21" ht="15" x14ac:dyDescent="0.25">
      <c r="A68" s="2" t="s">
        <v>114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7">
        <f>N64+N66</f>
        <v>202527.09000000032</v>
      </c>
      <c r="O68" s="37">
        <f>O64+O66</f>
        <v>-175000</v>
      </c>
      <c r="P68" s="37">
        <f>N68-O68</f>
        <v>377527.09000000032</v>
      </c>
      <c r="Q68" s="46"/>
      <c r="R68" s="37">
        <f>R64+R66</f>
        <v>202527.19000000006</v>
      </c>
    </row>
    <row r="70" spans="1:21" ht="14.25" customHeight="1" x14ac:dyDescent="0.25">
      <c r="N70" s="7"/>
      <c r="O70" s="7"/>
      <c r="P70" s="7"/>
      <c r="R70" s="7"/>
    </row>
  </sheetData>
  <mergeCells count="2">
    <mergeCell ref="A1:Q1"/>
    <mergeCell ref="A3:Q3"/>
  </mergeCells>
  <pageMargins left="0.25" right="0.25" top="0.75" bottom="0.75" header="0.3" footer="0.3"/>
  <pageSetup scale="83" orientation="landscape" r:id="rId1"/>
  <headerFooter alignWithMargins="0"/>
  <ignoredErrors>
    <ignoredError sqref="P60 R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9CAC-461A-4786-AA0C-93EDEAEA4D71}">
  <sheetPr>
    <pageSetUpPr fitToPage="1"/>
  </sheetPr>
  <dimension ref="A1:L45"/>
  <sheetViews>
    <sheetView zoomScaleNormal="100" workbookViewId="0">
      <pane xSplit="1" ySplit="5" topLeftCell="B6" activePane="bottomRight" state="frozen"/>
      <selection activeCell="O71" sqref="O71"/>
      <selection pane="topRight" activeCell="O71" sqref="O71"/>
      <selection pane="bottomLeft" activeCell="O71" sqref="O71"/>
      <selection pane="bottomRight" activeCell="H30" sqref="H30"/>
    </sheetView>
  </sheetViews>
  <sheetFormatPr defaultRowHeight="14.25" customHeight="1" x14ac:dyDescent="0.25"/>
  <cols>
    <col min="1" max="1" width="60.85546875" customWidth="1"/>
    <col min="2" max="2" width="19.42578125" customWidth="1"/>
    <col min="3" max="3" width="17.85546875" customWidth="1"/>
    <col min="4" max="4" width="15" customWidth="1"/>
    <col min="5" max="5" width="4.85546875" style="13" customWidth="1"/>
    <col min="6" max="6" width="14" customWidth="1"/>
    <col min="7" max="7" width="19.42578125" customWidth="1"/>
    <col min="8" max="8" width="10.5703125" bestFit="1" customWidth="1"/>
    <col min="10" max="10" width="68.42578125" customWidth="1"/>
    <col min="11" max="11" width="24.5703125" customWidth="1"/>
  </cols>
  <sheetData>
    <row r="1" spans="1:12" ht="21" x14ac:dyDescent="0.35">
      <c r="A1" s="4" t="s">
        <v>67</v>
      </c>
      <c r="B1" s="10"/>
      <c r="F1" s="10"/>
      <c r="G1" s="10"/>
    </row>
    <row r="2" spans="1:12" ht="21" x14ac:dyDescent="0.35">
      <c r="A2" s="4" t="s">
        <v>70</v>
      </c>
      <c r="B2" s="34"/>
      <c r="C2" s="4"/>
      <c r="D2" s="4"/>
      <c r="F2" s="10"/>
      <c r="G2" s="10"/>
    </row>
    <row r="3" spans="1:12" ht="15" customHeight="1" x14ac:dyDescent="0.25">
      <c r="A3" s="5"/>
      <c r="B3" s="9"/>
      <c r="F3" s="9"/>
      <c r="G3" s="9"/>
    </row>
    <row r="4" spans="1:12" ht="30" x14ac:dyDescent="0.25">
      <c r="A4" s="1"/>
      <c r="B4" s="16" t="s">
        <v>69</v>
      </c>
      <c r="C4" s="12" t="s">
        <v>66</v>
      </c>
      <c r="D4" s="12" t="s">
        <v>72</v>
      </c>
      <c r="F4" s="6" t="s">
        <v>73</v>
      </c>
      <c r="G4" s="15" t="s">
        <v>74</v>
      </c>
    </row>
    <row r="5" spans="1:12" ht="15" x14ac:dyDescent="0.25">
      <c r="A5" s="1" t="s">
        <v>1</v>
      </c>
      <c r="B5" s="6"/>
      <c r="C5" s="1"/>
      <c r="D5" s="1"/>
      <c r="F5" s="6"/>
      <c r="G5" s="6"/>
    </row>
    <row r="6" spans="1:12" ht="15" x14ac:dyDescent="0.25">
      <c r="A6" s="7" t="s">
        <v>2</v>
      </c>
      <c r="B6" s="3">
        <v>1148097</v>
      </c>
      <c r="C6" s="3">
        <f>'FY26 Projected v Budget'!N6</f>
        <v>1140403.24</v>
      </c>
      <c r="D6" s="3">
        <f>B6-C6</f>
        <v>7693.7600000000093</v>
      </c>
      <c r="E6" s="3"/>
      <c r="F6" s="3">
        <f>'FY26 Projected v Budget'!O6</f>
        <v>1307004</v>
      </c>
      <c r="G6" s="3">
        <f>B6-F6</f>
        <v>-158907</v>
      </c>
    </row>
    <row r="7" spans="1:12" ht="15" x14ac:dyDescent="0.25">
      <c r="A7" s="7" t="s">
        <v>3</v>
      </c>
      <c r="B7" s="3">
        <v>14400</v>
      </c>
      <c r="C7" s="7">
        <f>'FY26 Projected v Budget'!N7</f>
        <v>15011.400000000001</v>
      </c>
      <c r="D7" s="7">
        <f t="shared" ref="D7:D10" si="0">B7-C7</f>
        <v>-611.40000000000146</v>
      </c>
      <c r="F7" s="3">
        <f>'FY26 Projected v Budget'!O7</f>
        <v>11153</v>
      </c>
      <c r="G7" s="3">
        <f t="shared" ref="G7:G10" si="1">B7-F7</f>
        <v>3247</v>
      </c>
    </row>
    <row r="8" spans="1:12" ht="15" x14ac:dyDescent="0.25">
      <c r="A8" s="7" t="s">
        <v>4</v>
      </c>
      <c r="B8" s="3">
        <v>1961398</v>
      </c>
      <c r="C8" s="7">
        <f>'FY26 Projected v Budget'!N8</f>
        <v>2496714.9</v>
      </c>
      <c r="D8" s="7">
        <f t="shared" si="0"/>
        <v>-535316.89999999991</v>
      </c>
      <c r="E8" s="14"/>
      <c r="F8" s="3">
        <f>'FY26 Projected v Budget'!O8</f>
        <v>1818409</v>
      </c>
      <c r="G8" s="3">
        <f t="shared" si="1"/>
        <v>142989</v>
      </c>
    </row>
    <row r="9" spans="1:12" ht="15" x14ac:dyDescent="0.25">
      <c r="A9" s="7" t="s">
        <v>5</v>
      </c>
      <c r="B9" s="3">
        <v>298500</v>
      </c>
      <c r="C9" s="7">
        <f>'FY26 Projected v Budget'!N9</f>
        <v>249042.81</v>
      </c>
      <c r="D9" s="7">
        <f t="shared" si="0"/>
        <v>49457.19</v>
      </c>
      <c r="F9" s="3">
        <f>'FY26 Projected v Budget'!O9</f>
        <v>293526</v>
      </c>
      <c r="G9" s="3">
        <f t="shared" si="1"/>
        <v>4974</v>
      </c>
    </row>
    <row r="10" spans="1:12" ht="15" x14ac:dyDescent="0.25">
      <c r="A10" s="7" t="s">
        <v>6</v>
      </c>
      <c r="B10" s="3">
        <v>19500</v>
      </c>
      <c r="C10" s="7">
        <f>'FY26 Projected v Budget'!N10</f>
        <v>17385</v>
      </c>
      <c r="D10" s="7">
        <f t="shared" si="0"/>
        <v>2115</v>
      </c>
      <c r="F10" s="3">
        <f>'FY26 Projected v Budget'!O10</f>
        <v>14908</v>
      </c>
      <c r="G10" s="3">
        <f t="shared" si="1"/>
        <v>4592</v>
      </c>
    </row>
    <row r="11" spans="1:12" ht="15" x14ac:dyDescent="0.25">
      <c r="A11" s="2" t="s">
        <v>8</v>
      </c>
      <c r="B11" s="19">
        <f>SUM(B6:B10)</f>
        <v>3441895</v>
      </c>
      <c r="C11" s="19">
        <f>SUM(C6:C10)</f>
        <v>3918557.35</v>
      </c>
      <c r="D11" s="19">
        <f>SUM(D6:D10)</f>
        <v>-476662.34999999992</v>
      </c>
      <c r="F11" s="19">
        <f>SUM(F6:F10)</f>
        <v>3445000</v>
      </c>
      <c r="G11" s="19">
        <f>SUM(G6:G10)</f>
        <v>-3105</v>
      </c>
    </row>
    <row r="12" spans="1:12" ht="15" x14ac:dyDescent="0.25">
      <c r="A12" s="2"/>
      <c r="B12" s="2"/>
      <c r="C12" s="2"/>
      <c r="D12" s="2"/>
      <c r="F12" s="2"/>
      <c r="G12" s="2"/>
    </row>
    <row r="13" spans="1:12" ht="15" x14ac:dyDescent="0.25">
      <c r="A13" s="2" t="s">
        <v>53</v>
      </c>
      <c r="B13" s="2">
        <v>4296401</v>
      </c>
      <c r="C13" s="2">
        <f>'FY26 Projected v Budget'!N59</f>
        <v>3514940.34</v>
      </c>
      <c r="D13" s="2">
        <f>B13-C13</f>
        <v>781460.66000000015</v>
      </c>
      <c r="F13" s="2">
        <f>'FY26 Projected v Budget'!O59</f>
        <v>3700000</v>
      </c>
      <c r="G13" s="2">
        <f>B13-F13</f>
        <v>596401</v>
      </c>
    </row>
    <row r="14" spans="1:12" ht="15" x14ac:dyDescent="0.25">
      <c r="A14" s="2"/>
      <c r="B14" s="2"/>
      <c r="C14" s="2"/>
      <c r="D14" s="2"/>
      <c r="F14" s="2"/>
      <c r="G14" s="2"/>
    </row>
    <row r="15" spans="1:12" ht="15" x14ac:dyDescent="0.25">
      <c r="A15" s="2" t="s">
        <v>77</v>
      </c>
      <c r="B15" s="19">
        <f>B11-B13</f>
        <v>-854506</v>
      </c>
      <c r="C15" s="19">
        <f>C11-C13</f>
        <v>403617.01000000024</v>
      </c>
      <c r="D15" s="19">
        <f>D11-D13</f>
        <v>-1258123.01</v>
      </c>
      <c r="E15" s="14"/>
      <c r="F15" s="19">
        <f>F11-F13</f>
        <v>-255000</v>
      </c>
      <c r="G15" s="19">
        <f>G11-G13</f>
        <v>-599506</v>
      </c>
      <c r="H15" s="7"/>
      <c r="L15" s="3"/>
    </row>
    <row r="16" spans="1:12" ht="15" x14ac:dyDescent="0.25">
      <c r="A16" s="2"/>
      <c r="B16" s="2"/>
      <c r="C16" s="2"/>
      <c r="D16" s="2"/>
      <c r="E16" s="14"/>
      <c r="F16" s="2"/>
      <c r="G16" s="2"/>
      <c r="H16" s="7"/>
    </row>
    <row r="17" spans="1:11" ht="15" x14ac:dyDescent="0.25">
      <c r="A17" s="17" t="s">
        <v>7</v>
      </c>
      <c r="B17" s="17">
        <v>120000</v>
      </c>
      <c r="C17" s="17">
        <f>'FY26 Projected v Budget'!N62</f>
        <v>648910.08000000019</v>
      </c>
      <c r="D17" s="17">
        <f>B17-C17</f>
        <v>-528910.08000000019</v>
      </c>
      <c r="E17" s="14"/>
      <c r="F17" s="17">
        <f>'FY26 Projected v Budget'!O62</f>
        <v>80000</v>
      </c>
      <c r="G17" s="17">
        <f>B17-F17</f>
        <v>40000</v>
      </c>
      <c r="H17" s="18"/>
    </row>
    <row r="18" spans="1:11" ht="15" x14ac:dyDescent="0.25">
      <c r="A18" s="17" t="s">
        <v>107</v>
      </c>
      <c r="B18" s="17">
        <f>8300000*0.04</f>
        <v>332000</v>
      </c>
      <c r="C18" s="17"/>
      <c r="D18" s="17">
        <f>B18-C18</f>
        <v>332000</v>
      </c>
      <c r="E18" s="14"/>
      <c r="F18" s="17"/>
      <c r="G18" s="17">
        <f>B18-F18</f>
        <v>332000</v>
      </c>
      <c r="H18" s="18"/>
    </row>
    <row r="19" spans="1:11" ht="15" x14ac:dyDescent="0.25">
      <c r="A19" s="2"/>
      <c r="B19" s="2"/>
      <c r="C19" s="2"/>
      <c r="D19" s="2"/>
      <c r="E19" s="14"/>
      <c r="F19" s="2"/>
      <c r="G19" s="2"/>
      <c r="H19" s="7"/>
      <c r="J19" s="44"/>
      <c r="K19" s="44"/>
    </row>
    <row r="20" spans="1:11" ht="15" x14ac:dyDescent="0.25">
      <c r="A20" s="2" t="s">
        <v>78</v>
      </c>
      <c r="B20" s="37">
        <f>B15+B17+B18</f>
        <v>-402506</v>
      </c>
      <c r="C20" s="37">
        <f>C15+C17+C18</f>
        <v>1052527.0900000003</v>
      </c>
      <c r="D20" s="37">
        <f>D15+D17+D18</f>
        <v>-1455033.0900000003</v>
      </c>
      <c r="E20" s="14"/>
      <c r="F20" s="37">
        <f t="shared" ref="F20" si="2">F15+F17</f>
        <v>-175000</v>
      </c>
      <c r="G20" s="37">
        <f>G15+G17+G18</f>
        <v>-227506</v>
      </c>
      <c r="H20" s="41"/>
      <c r="J20" s="44"/>
      <c r="K20" s="44"/>
    </row>
    <row r="21" spans="1:11" ht="15" x14ac:dyDescent="0.25">
      <c r="A21" s="2"/>
      <c r="B21" s="2"/>
      <c r="C21" s="2"/>
      <c r="D21" s="2"/>
      <c r="F21" s="39"/>
      <c r="G21" s="2"/>
    </row>
    <row r="22" spans="1:11" s="5" customFormat="1" ht="27.75" customHeight="1" x14ac:dyDescent="0.25">
      <c r="A22" s="2" t="s">
        <v>81</v>
      </c>
      <c r="B22" s="2">
        <f>C33</f>
        <v>400000</v>
      </c>
      <c r="C22" s="20"/>
      <c r="D22" s="20"/>
      <c r="E22" s="14"/>
      <c r="F22" s="20"/>
      <c r="G22" s="20"/>
    </row>
    <row r="23" spans="1:11" ht="15.75" customHeight="1" x14ac:dyDescent="0.25">
      <c r="A23" s="2"/>
      <c r="B23" s="2"/>
      <c r="C23" s="20"/>
      <c r="D23" s="20"/>
      <c r="F23" s="20"/>
      <c r="G23" s="20"/>
    </row>
    <row r="24" spans="1:11" ht="30" x14ac:dyDescent="0.25">
      <c r="A24" s="2" t="s">
        <v>82</v>
      </c>
      <c r="B24" s="2">
        <v>2506</v>
      </c>
      <c r="C24" s="20"/>
      <c r="D24" s="20"/>
      <c r="F24" s="20"/>
      <c r="G24" s="20"/>
    </row>
    <row r="25" spans="1:11" ht="15" x14ac:dyDescent="0.25">
      <c r="A25" s="2"/>
      <c r="B25" s="2"/>
      <c r="C25" s="20"/>
      <c r="D25" s="20"/>
      <c r="F25" s="20"/>
      <c r="G25" s="20"/>
    </row>
    <row r="26" spans="1:11" ht="15" x14ac:dyDescent="0.25">
      <c r="A26" s="2" t="s">
        <v>79</v>
      </c>
      <c r="B26" s="22">
        <f>B20+B22+B24</f>
        <v>0</v>
      </c>
      <c r="C26" s="20"/>
      <c r="D26" s="20"/>
      <c r="F26" s="20"/>
      <c r="G26" s="20"/>
    </row>
    <row r="27" spans="1:11" ht="15" x14ac:dyDescent="0.25">
      <c r="A27" s="20"/>
      <c r="B27" s="35"/>
      <c r="C27" s="20"/>
      <c r="D27" s="20"/>
      <c r="F27" s="20"/>
      <c r="G27" s="20"/>
    </row>
    <row r="28" spans="1:11" ht="15" x14ac:dyDescent="0.25">
      <c r="A28" s="20"/>
      <c r="B28" s="20"/>
      <c r="C28" s="20"/>
      <c r="D28" s="20"/>
      <c r="F28" s="20"/>
      <c r="G28" s="20"/>
    </row>
    <row r="29" spans="1:11" ht="15" x14ac:dyDescent="0.25">
      <c r="A29" s="20"/>
      <c r="B29" s="20"/>
      <c r="C29" s="20"/>
      <c r="D29" s="20"/>
      <c r="F29" s="20"/>
      <c r="G29" s="20"/>
    </row>
    <row r="30" spans="1:11" ht="45" x14ac:dyDescent="0.25">
      <c r="A30" s="16" t="s">
        <v>80</v>
      </c>
      <c r="B30" s="16" t="s">
        <v>99</v>
      </c>
      <c r="C30" s="16" t="s">
        <v>103</v>
      </c>
      <c r="D30" s="16" t="s">
        <v>116</v>
      </c>
      <c r="F30" s="20"/>
      <c r="G30" s="20"/>
    </row>
    <row r="31" spans="1:11" ht="15" x14ac:dyDescent="0.25">
      <c r="A31" s="18" t="s">
        <v>83</v>
      </c>
      <c r="B31" s="26">
        <v>500000</v>
      </c>
      <c r="C31" s="26">
        <v>250000</v>
      </c>
      <c r="D31" s="26">
        <f>B31-C31</f>
        <v>250000</v>
      </c>
    </row>
    <row r="32" spans="1:11" ht="15" x14ac:dyDescent="0.25">
      <c r="A32" s="49" t="s">
        <v>119</v>
      </c>
      <c r="B32" s="36">
        <v>300000</v>
      </c>
      <c r="C32" s="26">
        <v>150000</v>
      </c>
      <c r="D32" s="26">
        <f>B32-C32</f>
        <v>150000</v>
      </c>
    </row>
    <row r="33" spans="1:7" ht="15" x14ac:dyDescent="0.25">
      <c r="B33" s="21">
        <f>SUM(B31:B32)</f>
        <v>800000</v>
      </c>
      <c r="C33" s="21">
        <f>SUM(C31:C32)</f>
        <v>400000</v>
      </c>
      <c r="D33" s="21">
        <f>SUM(D31:D32)</f>
        <v>400000</v>
      </c>
    </row>
    <row r="34" spans="1:7" ht="15" x14ac:dyDescent="0.25">
      <c r="A34" s="29" t="s">
        <v>98</v>
      </c>
      <c r="B34" s="25"/>
      <c r="C34" s="26"/>
      <c r="D34" s="26"/>
    </row>
    <row r="35" spans="1:7" ht="30" x14ac:dyDescent="0.25">
      <c r="A35" s="5" t="s">
        <v>96</v>
      </c>
      <c r="B35" s="26">
        <v>55288</v>
      </c>
      <c r="C35" s="36">
        <v>2506</v>
      </c>
      <c r="D35" s="26">
        <f>B35-C35</f>
        <v>52782</v>
      </c>
    </row>
    <row r="36" spans="1:7" ht="15" x14ac:dyDescent="0.25">
      <c r="A36" s="5" t="s">
        <v>97</v>
      </c>
      <c r="B36" s="26">
        <v>555579</v>
      </c>
      <c r="C36" s="26"/>
      <c r="D36" s="26">
        <f>B36-C36</f>
        <v>555579</v>
      </c>
      <c r="G36" s="25"/>
    </row>
    <row r="37" spans="1:7" ht="15" x14ac:dyDescent="0.25">
      <c r="B37" s="24">
        <f>SUM(B35:B36)</f>
        <v>610867</v>
      </c>
      <c r="C37" s="24">
        <f t="shared" ref="C37:D37" si="3">SUM(C35:C36)</f>
        <v>2506</v>
      </c>
      <c r="D37" s="24">
        <f t="shared" si="3"/>
        <v>608361</v>
      </c>
    </row>
    <row r="38" spans="1:7" ht="15" x14ac:dyDescent="0.25">
      <c r="C38" s="26"/>
      <c r="D38" s="26"/>
    </row>
    <row r="39" spans="1:7" ht="15.75" thickBot="1" x14ac:dyDescent="0.3">
      <c r="A39" s="29" t="s">
        <v>100</v>
      </c>
      <c r="B39" s="33">
        <f>B33+B37</f>
        <v>1410867</v>
      </c>
      <c r="C39" s="33">
        <f>C33+C37</f>
        <v>402506</v>
      </c>
      <c r="D39" s="33">
        <f>D33+D37</f>
        <v>1008361</v>
      </c>
    </row>
    <row r="40" spans="1:7" ht="15.75" thickTop="1" x14ac:dyDescent="0.25">
      <c r="C40" s="25"/>
      <c r="D40" s="25"/>
    </row>
    <row r="41" spans="1:7" ht="15" x14ac:dyDescent="0.25"/>
    <row r="42" spans="1:7" ht="15" x14ac:dyDescent="0.25"/>
    <row r="43" spans="1:7" ht="15" x14ac:dyDescent="0.25"/>
    <row r="44" spans="1:7" ht="15" x14ac:dyDescent="0.25"/>
    <row r="45" spans="1:7" ht="15" x14ac:dyDescent="0.25"/>
  </sheetData>
  <pageMargins left="0.25" right="0.25" top="0.75" bottom="0.75" header="0.3" footer="0.3"/>
  <pageSetup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6B3F-4F79-44C3-855E-6896A46F2B6C}">
  <dimension ref="A2:B16"/>
  <sheetViews>
    <sheetView workbookViewId="0">
      <selection activeCell="D21" sqref="D21"/>
    </sheetView>
  </sheetViews>
  <sheetFormatPr defaultRowHeight="15" x14ac:dyDescent="0.25"/>
  <cols>
    <col min="1" max="1" width="86.42578125" customWidth="1"/>
    <col min="2" max="2" width="22.140625" style="26" customWidth="1"/>
  </cols>
  <sheetData>
    <row r="2" spans="1:2" ht="21" x14ac:dyDescent="0.35">
      <c r="A2" s="4" t="s">
        <v>67</v>
      </c>
    </row>
    <row r="3" spans="1:2" ht="21" x14ac:dyDescent="0.35">
      <c r="A3" s="4" t="s">
        <v>91</v>
      </c>
    </row>
    <row r="5" spans="1:2" ht="30" customHeight="1" x14ac:dyDescent="0.25">
      <c r="A5" s="1"/>
      <c r="B5" s="16"/>
    </row>
    <row r="6" spans="1:2" x14ac:dyDescent="0.25">
      <c r="A6" s="18" t="s">
        <v>86</v>
      </c>
      <c r="B6" s="27">
        <f>'FY26 Projected v Budget'!N11</f>
        <v>3918557.35</v>
      </c>
    </row>
    <row r="7" spans="1:2" x14ac:dyDescent="0.25">
      <c r="A7" s="18" t="s">
        <v>84</v>
      </c>
      <c r="B7" s="28">
        <v>-850000</v>
      </c>
    </row>
    <row r="8" spans="1:2" ht="15.75" thickBot="1" x14ac:dyDescent="0.3">
      <c r="A8" s="29" t="s">
        <v>94</v>
      </c>
      <c r="B8" s="31">
        <f>SUM(B6:B7)</f>
        <v>3068557.35</v>
      </c>
    </row>
    <row r="9" spans="1:2" ht="15.75" thickTop="1" x14ac:dyDescent="0.25">
      <c r="A9" s="29"/>
      <c r="B9" s="32"/>
    </row>
    <row r="11" spans="1:2" ht="15.75" thickBot="1" x14ac:dyDescent="0.3">
      <c r="A11" s="29" t="s">
        <v>85</v>
      </c>
      <c r="B11" s="33">
        <v>3441895</v>
      </c>
    </row>
    <row r="12" spans="1:2" ht="15.75" thickTop="1" x14ac:dyDescent="0.25">
      <c r="A12" s="29"/>
      <c r="B12" s="30"/>
    </row>
    <row r="13" spans="1:2" x14ac:dyDescent="0.25">
      <c r="A13" s="18"/>
    </row>
    <row r="14" spans="1:2" x14ac:dyDescent="0.25">
      <c r="A14" s="29" t="s">
        <v>93</v>
      </c>
    </row>
    <row r="15" spans="1:2" x14ac:dyDescent="0.25">
      <c r="A15" t="s">
        <v>94</v>
      </c>
      <c r="B15" s="42">
        <f>B11-B8</f>
        <v>373337.64999999991</v>
      </c>
    </row>
    <row r="16" spans="1:2" x14ac:dyDescent="0.25">
      <c r="A16" t="s">
        <v>92</v>
      </c>
      <c r="B16" s="43">
        <f>B15/B8</f>
        <v>0.12166552793937513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2ED6-46F9-4459-AC06-F124BD26135F}">
  <sheetPr>
    <pageSetUpPr fitToPage="1"/>
  </sheetPr>
  <dimension ref="A1:K46"/>
  <sheetViews>
    <sheetView zoomScale="110" zoomScaleNormal="110" workbookViewId="0">
      <pane xSplit="1" ySplit="5" topLeftCell="B11" activePane="bottomRight" state="frozen"/>
      <selection activeCell="O71" sqref="O71"/>
      <selection pane="topRight" activeCell="O71" sqref="O71"/>
      <selection pane="bottomLeft" activeCell="O71" sqref="O71"/>
      <selection pane="bottomRight" activeCell="F40" sqref="F40"/>
    </sheetView>
  </sheetViews>
  <sheetFormatPr defaultRowHeight="14.25" customHeight="1" x14ac:dyDescent="0.25"/>
  <cols>
    <col min="1" max="1" width="60.85546875" customWidth="1"/>
    <col min="2" max="2" width="19.42578125" customWidth="1"/>
    <col min="3" max="3" width="17.85546875" customWidth="1"/>
    <col min="4" max="4" width="20.85546875" customWidth="1"/>
    <col min="5" max="5" width="17" customWidth="1"/>
    <col min="6" max="6" width="17" style="13" customWidth="1"/>
    <col min="7" max="7" width="10.5703125" bestFit="1" customWidth="1"/>
    <col min="9" max="9" width="68.42578125" customWidth="1"/>
    <col min="10" max="10" width="24.5703125" customWidth="1"/>
  </cols>
  <sheetData>
    <row r="1" spans="1:11" ht="21" x14ac:dyDescent="0.35">
      <c r="A1" s="4" t="s">
        <v>67</v>
      </c>
      <c r="B1" s="10"/>
    </row>
    <row r="2" spans="1:11" ht="21" x14ac:dyDescent="0.35">
      <c r="A2" s="4" t="s">
        <v>111</v>
      </c>
      <c r="B2" s="34"/>
      <c r="C2" s="4"/>
      <c r="D2" s="4"/>
      <c r="E2" s="4"/>
    </row>
    <row r="3" spans="1:11" ht="15" customHeight="1" x14ac:dyDescent="0.25">
      <c r="A3" s="5"/>
      <c r="B3" s="9"/>
    </row>
    <row r="4" spans="1:11" ht="15" x14ac:dyDescent="0.25">
      <c r="A4" s="1"/>
      <c r="B4" s="50"/>
      <c r="C4" s="12" t="s">
        <v>124</v>
      </c>
      <c r="D4" s="12" t="s">
        <v>125</v>
      </c>
      <c r="E4" s="12" t="s">
        <v>126</v>
      </c>
    </row>
    <row r="5" spans="1:11" ht="15" x14ac:dyDescent="0.25">
      <c r="A5" s="1" t="s">
        <v>1</v>
      </c>
      <c r="B5" s="46"/>
      <c r="C5" s="6"/>
      <c r="D5" s="1"/>
      <c r="E5" s="1"/>
    </row>
    <row r="6" spans="1:11" ht="15" hidden="1" x14ac:dyDescent="0.25">
      <c r="A6" s="7" t="s">
        <v>2</v>
      </c>
      <c r="B6" s="51"/>
      <c r="C6" s="3">
        <v>1148097</v>
      </c>
      <c r="D6" s="3">
        <f>C6*1.06</f>
        <v>1216982.82</v>
      </c>
      <c r="E6" s="3">
        <f>D6*1.06</f>
        <v>1290001.7892000002</v>
      </c>
      <c r="F6" s="3"/>
    </row>
    <row r="7" spans="1:11" ht="15" hidden="1" x14ac:dyDescent="0.25">
      <c r="A7" s="7" t="s">
        <v>3</v>
      </c>
      <c r="B7" s="51"/>
      <c r="C7" s="3">
        <v>14400</v>
      </c>
      <c r="D7" s="3">
        <f t="shared" ref="D7:E7" si="0">C7*1.06</f>
        <v>15264</v>
      </c>
      <c r="E7" s="3">
        <f t="shared" si="0"/>
        <v>16179.84</v>
      </c>
    </row>
    <row r="8" spans="1:11" ht="15" hidden="1" x14ac:dyDescent="0.25">
      <c r="A8" s="7" t="s">
        <v>4</v>
      </c>
      <c r="B8" s="51"/>
      <c r="C8" s="3">
        <v>1961398</v>
      </c>
      <c r="D8" s="3">
        <f t="shared" ref="D8:E8" si="1">C8*1.06</f>
        <v>2079081.8800000001</v>
      </c>
      <c r="E8" s="3">
        <f t="shared" si="1"/>
        <v>2203826.7928000004</v>
      </c>
      <c r="F8" s="14"/>
    </row>
    <row r="9" spans="1:11" ht="15" hidden="1" x14ac:dyDescent="0.25">
      <c r="A9" s="7" t="s">
        <v>5</v>
      </c>
      <c r="B9" s="51"/>
      <c r="C9" s="3">
        <v>298500</v>
      </c>
      <c r="D9" s="3">
        <f t="shared" ref="D9:E9" si="2">C9*1.06</f>
        <v>316410</v>
      </c>
      <c r="E9" s="3">
        <f t="shared" si="2"/>
        <v>335394.60000000003</v>
      </c>
    </row>
    <row r="10" spans="1:11" ht="15" hidden="1" x14ac:dyDescent="0.25">
      <c r="A10" s="7" t="s">
        <v>6</v>
      </c>
      <c r="B10" s="51"/>
      <c r="C10" s="3">
        <v>19500</v>
      </c>
      <c r="D10" s="3">
        <f t="shared" ref="D10:E10" si="3">C10*1.06</f>
        <v>20670</v>
      </c>
      <c r="E10" s="3">
        <f t="shared" si="3"/>
        <v>21910.2</v>
      </c>
    </row>
    <row r="11" spans="1:11" ht="15" x14ac:dyDescent="0.25">
      <c r="A11" s="2" t="s">
        <v>8</v>
      </c>
      <c r="B11" s="20"/>
      <c r="C11" s="19">
        <f>SUM(C6:C10)</f>
        <v>3441895</v>
      </c>
      <c r="D11" s="19">
        <f>SUM(D6:D10)</f>
        <v>3648408.7</v>
      </c>
      <c r="E11" s="19">
        <f>SUM(E6:E10)</f>
        <v>3867313.222000001</v>
      </c>
    </row>
    <row r="12" spans="1:11" ht="15" x14ac:dyDescent="0.25">
      <c r="A12" s="2"/>
      <c r="B12" s="20"/>
      <c r="C12" s="2"/>
      <c r="D12" s="2"/>
      <c r="E12" s="2"/>
    </row>
    <row r="13" spans="1:11" ht="15" x14ac:dyDescent="0.25">
      <c r="A13" s="2" t="s">
        <v>53</v>
      </c>
      <c r="B13" s="20"/>
      <c r="C13" s="2">
        <v>4296401</v>
      </c>
      <c r="D13" s="2">
        <f>C13*1.04</f>
        <v>4468257.04</v>
      </c>
      <c r="E13" s="2">
        <f>D13*1.04</f>
        <v>4646987.3216000004</v>
      </c>
    </row>
    <row r="14" spans="1:11" ht="15" x14ac:dyDescent="0.25">
      <c r="A14" s="2"/>
      <c r="B14" s="20"/>
      <c r="C14" s="2"/>
      <c r="D14" s="2"/>
      <c r="E14" s="2"/>
    </row>
    <row r="15" spans="1:11" ht="15" x14ac:dyDescent="0.25">
      <c r="A15" s="2" t="s">
        <v>77</v>
      </c>
      <c r="B15" s="20"/>
      <c r="C15" s="19">
        <f>C11-C13</f>
        <v>-854506</v>
      </c>
      <c r="D15" s="19">
        <f t="shared" ref="D15:E15" si="4">D11-D13</f>
        <v>-819848.33999999985</v>
      </c>
      <c r="E15" s="19">
        <f t="shared" si="4"/>
        <v>-779674.09959999938</v>
      </c>
      <c r="F15" s="14"/>
      <c r="G15" s="7"/>
      <c r="K15" s="3"/>
    </row>
    <row r="16" spans="1:11" ht="15" x14ac:dyDescent="0.25">
      <c r="A16" s="2"/>
      <c r="B16" s="20"/>
      <c r="C16" s="2"/>
      <c r="D16" s="2"/>
      <c r="E16" s="2"/>
      <c r="F16" s="14"/>
      <c r="G16" s="7"/>
    </row>
    <row r="17" spans="1:10" ht="15" x14ac:dyDescent="0.25">
      <c r="A17" s="17" t="s">
        <v>7</v>
      </c>
      <c r="B17" s="52"/>
      <c r="C17" s="17">
        <v>120000</v>
      </c>
      <c r="D17" s="17">
        <f>C17*1.04</f>
        <v>124800</v>
      </c>
      <c r="E17" s="17">
        <f>D17*1.04</f>
        <v>129792</v>
      </c>
      <c r="F17" s="14"/>
      <c r="G17" s="18"/>
    </row>
    <row r="18" spans="1:10" ht="15" x14ac:dyDescent="0.25">
      <c r="A18" s="17" t="s">
        <v>107</v>
      </c>
      <c r="B18" s="52"/>
      <c r="C18" s="17">
        <f>8300000*0.04</f>
        <v>332000</v>
      </c>
      <c r="D18" s="17">
        <f>C18*1.04</f>
        <v>345280</v>
      </c>
      <c r="E18" s="17">
        <f>D18*1.04</f>
        <v>359091.20000000001</v>
      </c>
      <c r="F18" s="14"/>
      <c r="G18" s="18"/>
    </row>
    <row r="19" spans="1:10" ht="15" x14ac:dyDescent="0.25">
      <c r="A19" s="2"/>
      <c r="B19" s="20"/>
      <c r="C19" s="2"/>
      <c r="D19" s="2"/>
      <c r="E19" s="2"/>
      <c r="F19" s="14"/>
      <c r="G19" s="7"/>
      <c r="I19" s="44"/>
      <c r="J19" s="44"/>
    </row>
    <row r="20" spans="1:10" ht="15" x14ac:dyDescent="0.25">
      <c r="A20" s="2" t="s">
        <v>78</v>
      </c>
      <c r="B20" s="48"/>
      <c r="C20" s="37">
        <f>C15+C17+C18</f>
        <v>-402506</v>
      </c>
      <c r="D20" s="37">
        <f>D15+D17+D18</f>
        <v>-349768.33999999985</v>
      </c>
      <c r="E20" s="37">
        <f>E15+E17+E18</f>
        <v>-290790.89959999936</v>
      </c>
      <c r="F20" s="14"/>
      <c r="G20" s="41"/>
      <c r="I20" s="44"/>
      <c r="J20" s="44"/>
    </row>
    <row r="21" spans="1:10" ht="15" x14ac:dyDescent="0.25">
      <c r="A21" s="2"/>
      <c r="B21" s="20"/>
      <c r="C21" s="2"/>
      <c r="D21" s="2"/>
      <c r="E21" s="2"/>
    </row>
    <row r="22" spans="1:10" s="5" customFormat="1" ht="27.75" customHeight="1" x14ac:dyDescent="0.25">
      <c r="A22" s="2" t="s">
        <v>81</v>
      </c>
      <c r="B22" s="20"/>
      <c r="C22" s="2">
        <v>400000</v>
      </c>
      <c r="D22" s="2">
        <v>349768.34</v>
      </c>
      <c r="E22" s="2">
        <f>E31</f>
        <v>50232</v>
      </c>
      <c r="F22" s="14"/>
    </row>
    <row r="23" spans="1:10" ht="15.75" customHeight="1" x14ac:dyDescent="0.25">
      <c r="A23" s="2"/>
      <c r="B23" s="20"/>
      <c r="C23" s="2"/>
      <c r="D23" s="2"/>
      <c r="E23" s="2"/>
    </row>
    <row r="24" spans="1:10" ht="30" x14ac:dyDescent="0.25">
      <c r="A24" s="2" t="s">
        <v>82</v>
      </c>
      <c r="B24" s="20"/>
      <c r="C24" s="2">
        <v>2506</v>
      </c>
      <c r="D24" s="2">
        <v>0</v>
      </c>
      <c r="E24" s="2">
        <v>240559</v>
      </c>
    </row>
    <row r="25" spans="1:10" ht="15" x14ac:dyDescent="0.25">
      <c r="A25" s="2"/>
      <c r="B25" s="20"/>
      <c r="C25" s="2"/>
      <c r="D25" s="2"/>
      <c r="E25" s="2"/>
    </row>
    <row r="26" spans="1:10" ht="15" x14ac:dyDescent="0.25">
      <c r="A26" s="2" t="s">
        <v>79</v>
      </c>
      <c r="B26" s="53"/>
      <c r="C26" s="22">
        <f>C20+C22+C24</f>
        <v>0</v>
      </c>
      <c r="D26" s="22">
        <f t="shared" ref="D26" si="5">D20+D22+D24</f>
        <v>1.7462298274040222E-10</v>
      </c>
      <c r="E26" s="22">
        <f>E20+E22+E24</f>
        <v>0.10040000063600019</v>
      </c>
    </row>
    <row r="27" spans="1:10" ht="15" x14ac:dyDescent="0.25">
      <c r="A27" s="20"/>
      <c r="B27" s="35"/>
      <c r="C27" s="35"/>
      <c r="D27" s="20"/>
      <c r="E27" s="20"/>
    </row>
    <row r="28" spans="1:10" ht="15" x14ac:dyDescent="0.25">
      <c r="A28" s="20"/>
      <c r="B28" s="20"/>
      <c r="C28" s="20"/>
      <c r="D28" s="20"/>
      <c r="E28" s="20"/>
    </row>
    <row r="29" spans="1:10" ht="15" x14ac:dyDescent="0.25">
      <c r="A29" s="20"/>
      <c r="B29" s="20"/>
      <c r="C29" s="20"/>
      <c r="D29" s="20"/>
      <c r="E29" s="20"/>
    </row>
    <row r="30" spans="1:10" ht="15" x14ac:dyDescent="0.25">
      <c r="A30" s="16" t="s">
        <v>80</v>
      </c>
      <c r="B30" s="16" t="s">
        <v>99</v>
      </c>
      <c r="C30" s="16" t="s">
        <v>103</v>
      </c>
      <c r="D30" s="16" t="s">
        <v>109</v>
      </c>
      <c r="E30" s="16" t="s">
        <v>110</v>
      </c>
      <c r="F30" s="16" t="s">
        <v>104</v>
      </c>
    </row>
    <row r="31" spans="1:10" ht="15" x14ac:dyDescent="0.25">
      <c r="A31" s="18" t="s">
        <v>83</v>
      </c>
      <c r="B31" s="26">
        <v>500000</v>
      </c>
      <c r="C31" s="26">
        <v>250000</v>
      </c>
      <c r="D31" s="26">
        <f>349768-150000</f>
        <v>199768</v>
      </c>
      <c r="E31" s="26">
        <v>50232</v>
      </c>
      <c r="F31" s="26">
        <f>B31-C31-D31-E31</f>
        <v>0</v>
      </c>
    </row>
    <row r="32" spans="1:10" ht="15" x14ac:dyDescent="0.25">
      <c r="A32" t="s">
        <v>76</v>
      </c>
      <c r="B32" s="36">
        <v>300000</v>
      </c>
      <c r="C32" s="26">
        <v>150000</v>
      </c>
      <c r="D32" s="26">
        <v>150000</v>
      </c>
      <c r="E32" s="26">
        <v>0</v>
      </c>
      <c r="F32" s="26">
        <f>B32-C32-D32-E32</f>
        <v>0</v>
      </c>
    </row>
    <row r="33" spans="1:6" ht="15" x14ac:dyDescent="0.25">
      <c r="B33" s="21">
        <f>SUM(B31:B32)</f>
        <v>800000</v>
      </c>
      <c r="C33" s="21">
        <f>SUM(C31:C32)</f>
        <v>400000</v>
      </c>
      <c r="D33" s="21">
        <f>SUM(D31:D32)</f>
        <v>349768</v>
      </c>
      <c r="E33" s="21"/>
      <c r="F33" s="21">
        <f>SUM(F31:F32)</f>
        <v>0</v>
      </c>
    </row>
    <row r="34" spans="1:6" ht="15" x14ac:dyDescent="0.25">
      <c r="A34" s="29" t="s">
        <v>98</v>
      </c>
      <c r="B34" s="25"/>
      <c r="C34" s="26"/>
      <c r="F34" s="26"/>
    </row>
    <row r="35" spans="1:6" ht="30" x14ac:dyDescent="0.25">
      <c r="A35" s="5" t="s">
        <v>96</v>
      </c>
      <c r="B35" s="26">
        <v>55288</v>
      </c>
      <c r="C35" s="36">
        <v>2506</v>
      </c>
      <c r="E35" s="36">
        <v>52782</v>
      </c>
      <c r="F35" s="26">
        <f>B35-C35-D35-E35</f>
        <v>0</v>
      </c>
    </row>
    <row r="36" spans="1:6" ht="15" x14ac:dyDescent="0.25">
      <c r="A36" s="5" t="s">
        <v>97</v>
      </c>
      <c r="B36" s="26">
        <v>555579</v>
      </c>
      <c r="C36" s="26"/>
      <c r="E36" s="26">
        <f>240559-E35</f>
        <v>187777</v>
      </c>
      <c r="F36" s="26">
        <f>B36-C36-D36-E36</f>
        <v>367802</v>
      </c>
    </row>
    <row r="37" spans="1:6" ht="15" x14ac:dyDescent="0.25">
      <c r="A37" s="5" t="s">
        <v>108</v>
      </c>
      <c r="B37" s="26">
        <v>572586</v>
      </c>
      <c r="C37" s="26"/>
      <c r="E37" s="36"/>
      <c r="F37" s="26">
        <f>B37-C37-D37-E37</f>
        <v>572586</v>
      </c>
    </row>
    <row r="38" spans="1:6" ht="15" x14ac:dyDescent="0.25">
      <c r="B38" s="24">
        <f>SUM(B35:B37)</f>
        <v>1183453</v>
      </c>
      <c r="C38" s="24">
        <f>SUM(C35:C36)</f>
        <v>2506</v>
      </c>
      <c r="D38" s="24">
        <f>SUM(D35:D36)</f>
        <v>0</v>
      </c>
      <c r="E38" s="24">
        <f>SUM(E35:E36)</f>
        <v>240559</v>
      </c>
      <c r="F38" s="24">
        <f>SUM(F35:F37)</f>
        <v>940388</v>
      </c>
    </row>
    <row r="39" spans="1:6" ht="15" x14ac:dyDescent="0.25">
      <c r="C39" s="26"/>
      <c r="D39" s="26"/>
      <c r="E39" s="26"/>
      <c r="F39" s="26"/>
    </row>
    <row r="40" spans="1:6" ht="15.75" thickBot="1" x14ac:dyDescent="0.3">
      <c r="A40" s="29" t="s">
        <v>100</v>
      </c>
      <c r="B40" s="40">
        <f>B33+B38</f>
        <v>1983453</v>
      </c>
      <c r="C40" s="33">
        <f>C33+C38</f>
        <v>402506</v>
      </c>
      <c r="D40" s="33">
        <f>D33+D38</f>
        <v>349768</v>
      </c>
      <c r="E40" s="33">
        <f>E33+E38</f>
        <v>240559</v>
      </c>
      <c r="F40" s="33">
        <f>F33+F38</f>
        <v>940388</v>
      </c>
    </row>
    <row r="41" spans="1:6" ht="15.75" thickTop="1" x14ac:dyDescent="0.25">
      <c r="C41" s="25"/>
      <c r="D41" s="25"/>
      <c r="E41" s="25"/>
    </row>
    <row r="42" spans="1:6" ht="36.75" customHeight="1" x14ac:dyDescent="0.25">
      <c r="A42" s="83" t="s">
        <v>122</v>
      </c>
      <c r="B42" s="83"/>
      <c r="C42" s="83"/>
      <c r="D42" s="83"/>
      <c r="E42" s="83"/>
      <c r="F42" s="83"/>
    </row>
    <row r="43" spans="1:6" ht="15" x14ac:dyDescent="0.25"/>
    <row r="44" spans="1:6" ht="15" x14ac:dyDescent="0.25"/>
    <row r="45" spans="1:6" ht="15" x14ac:dyDescent="0.25"/>
    <row r="46" spans="1:6" ht="15" x14ac:dyDescent="0.25"/>
  </sheetData>
  <mergeCells count="1">
    <mergeCell ref="A42:F42"/>
  </mergeCells>
  <pageMargins left="0.25" right="0.25" top="0.75" bottom="0.75" header="0.3" footer="0.3"/>
  <pageSetup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2C75-4E90-4CDD-8432-DF75AC6D28BB}">
  <sheetPr>
    <pageSetUpPr fitToPage="1"/>
  </sheetPr>
  <dimension ref="A1:I82"/>
  <sheetViews>
    <sheetView zoomScale="110" zoomScaleNormal="110" workbookViewId="0">
      <pane xSplit="1" ySplit="5" topLeftCell="B39" activePane="bottomRight" state="frozen"/>
      <selection activeCell="H32" sqref="H32"/>
      <selection pane="topRight" activeCell="H32" sqref="H32"/>
      <selection pane="bottomLeft" activeCell="H32" sqref="H32"/>
      <selection pane="bottomRight" activeCell="F58" sqref="F58"/>
    </sheetView>
  </sheetViews>
  <sheetFormatPr defaultRowHeight="15" x14ac:dyDescent="0.25"/>
  <cols>
    <col min="1" max="1" width="59.42578125" bestFit="1" customWidth="1"/>
    <col min="2" max="2" width="11.7109375" customWidth="1"/>
    <col min="3" max="3" width="14.85546875" customWidth="1"/>
    <col min="4" max="4" width="14.85546875" bestFit="1" customWidth="1"/>
    <col min="5" max="5" width="3.5703125" customWidth="1"/>
    <col min="6" max="6" width="66.5703125" style="13" customWidth="1"/>
    <col min="7" max="7" width="35.28515625" customWidth="1"/>
    <col min="9" max="9" width="10.5703125" bestFit="1" customWidth="1"/>
  </cols>
  <sheetData>
    <row r="1" spans="1:8" ht="21" x14ac:dyDescent="0.35">
      <c r="A1" s="79" t="s">
        <v>67</v>
      </c>
      <c r="B1" s="79"/>
      <c r="C1" s="79"/>
      <c r="D1" s="79"/>
    </row>
    <row r="2" spans="1:8" ht="21" x14ac:dyDescent="0.35">
      <c r="A2" s="4" t="s">
        <v>71</v>
      </c>
      <c r="B2" s="4"/>
      <c r="C2" s="4"/>
      <c r="D2" s="4"/>
    </row>
    <row r="3" spans="1:8" ht="15" customHeight="1" x14ac:dyDescent="0.25">
      <c r="A3" s="80"/>
      <c r="B3" s="80"/>
      <c r="C3" s="80"/>
      <c r="D3" s="80"/>
    </row>
    <row r="4" spans="1:8" ht="45" x14ac:dyDescent="0.25">
      <c r="A4" s="1"/>
      <c r="B4" s="12" t="s">
        <v>105</v>
      </c>
      <c r="C4" s="12" t="s">
        <v>66</v>
      </c>
      <c r="D4" s="12" t="s">
        <v>0</v>
      </c>
    </row>
    <row r="5" spans="1:8" x14ac:dyDescent="0.25">
      <c r="A5" s="1" t="s">
        <v>1</v>
      </c>
      <c r="B5" s="1"/>
      <c r="C5" s="1"/>
      <c r="D5" s="1"/>
    </row>
    <row r="6" spans="1:8" x14ac:dyDescent="0.25">
      <c r="A6" s="7" t="s">
        <v>2</v>
      </c>
      <c r="B6" s="7">
        <v>1148097</v>
      </c>
      <c r="C6" s="7">
        <f>'FY27 Budget '!C6</f>
        <v>1140403.24</v>
      </c>
      <c r="D6" s="11">
        <f>B6-C6</f>
        <v>7693.7600000000093</v>
      </c>
    </row>
    <row r="7" spans="1:8" x14ac:dyDescent="0.25">
      <c r="A7" s="7" t="s">
        <v>3</v>
      </c>
      <c r="B7" s="7">
        <v>14400</v>
      </c>
      <c r="C7" s="7">
        <f>'FY27 Budget '!C7</f>
        <v>15011.400000000001</v>
      </c>
      <c r="D7" s="11">
        <f t="shared" ref="D7:D10" si="0">B7-C7</f>
        <v>-611.40000000000146</v>
      </c>
    </row>
    <row r="8" spans="1:8" x14ac:dyDescent="0.25">
      <c r="A8" s="7" t="s">
        <v>4</v>
      </c>
      <c r="B8" s="7">
        <v>1961398</v>
      </c>
      <c r="C8" s="7">
        <f>'FY27 Budget '!C8</f>
        <v>2496714.9</v>
      </c>
      <c r="D8" s="11">
        <f t="shared" si="0"/>
        <v>-535316.89999999991</v>
      </c>
    </row>
    <row r="9" spans="1:8" x14ac:dyDescent="0.25">
      <c r="A9" s="7" t="s">
        <v>5</v>
      </c>
      <c r="B9" s="7">
        <v>298500</v>
      </c>
      <c r="C9" s="7">
        <f>'FY27 Budget '!C9</f>
        <v>249042.81</v>
      </c>
      <c r="D9" s="11">
        <f t="shared" si="0"/>
        <v>49457.19</v>
      </c>
    </row>
    <row r="10" spans="1:8" x14ac:dyDescent="0.25">
      <c r="A10" s="7" t="s">
        <v>6</v>
      </c>
      <c r="B10" s="7">
        <v>19500</v>
      </c>
      <c r="C10" s="7">
        <f>'FY27 Budget '!C10</f>
        <v>17385</v>
      </c>
      <c r="D10" s="11">
        <f t="shared" si="0"/>
        <v>2115</v>
      </c>
    </row>
    <row r="11" spans="1:8" x14ac:dyDescent="0.25">
      <c r="A11" s="2" t="s">
        <v>8</v>
      </c>
      <c r="B11" s="19">
        <f>SUM(B6:B10)</f>
        <v>3441895</v>
      </c>
      <c r="C11" s="19">
        <f>SUM(C6:C10)</f>
        <v>3918557.35</v>
      </c>
      <c r="D11" s="19">
        <f>SUM(D6:D10)</f>
        <v>-476662.34999999992</v>
      </c>
    </row>
    <row r="12" spans="1:8" x14ac:dyDescent="0.25">
      <c r="A12" s="1" t="s">
        <v>9</v>
      </c>
      <c r="B12" s="1"/>
      <c r="C12" s="1"/>
      <c r="D12" s="1"/>
    </row>
    <row r="13" spans="1:8" x14ac:dyDescent="0.25">
      <c r="A13" s="7" t="s">
        <v>10</v>
      </c>
      <c r="B13" s="7">
        <v>1840742.3999999999</v>
      </c>
      <c r="C13" s="7">
        <f>1512390.94+17749-1</f>
        <v>1530138.94</v>
      </c>
      <c r="D13" s="11">
        <f t="shared" ref="D13:D53" si="1">B13-C13</f>
        <v>310603.45999999996</v>
      </c>
      <c r="F13" s="13" t="s">
        <v>117</v>
      </c>
      <c r="G13" s="7"/>
      <c r="H13" s="7"/>
    </row>
    <row r="14" spans="1:8" x14ac:dyDescent="0.25">
      <c r="A14" s="7" t="s">
        <v>12</v>
      </c>
      <c r="B14" s="7">
        <v>137060.39000000001</v>
      </c>
      <c r="C14" s="7">
        <v>132205.54999999999</v>
      </c>
      <c r="D14" s="11">
        <f t="shared" si="1"/>
        <v>4854.8400000000256</v>
      </c>
      <c r="G14" s="7"/>
      <c r="H14" s="7"/>
    </row>
    <row r="15" spans="1:8" x14ac:dyDescent="0.25">
      <c r="A15" s="7" t="s">
        <v>13</v>
      </c>
      <c r="B15" s="7">
        <v>229943.52</v>
      </c>
      <c r="C15" s="7">
        <v>195901.41</v>
      </c>
      <c r="D15" s="11">
        <f t="shared" si="1"/>
        <v>34042.109999999986</v>
      </c>
      <c r="F15" s="13" t="s">
        <v>118</v>
      </c>
      <c r="G15" s="7"/>
      <c r="H15" s="7"/>
    </row>
    <row r="16" spans="1:8" ht="26.25" x14ac:dyDescent="0.25">
      <c r="A16" s="7" t="s">
        <v>14</v>
      </c>
      <c r="B16" s="7">
        <v>97100</v>
      </c>
      <c r="C16" s="7">
        <v>25875.06</v>
      </c>
      <c r="D16" s="11">
        <f t="shared" si="1"/>
        <v>71224.94</v>
      </c>
      <c r="F16" s="14" t="s">
        <v>156</v>
      </c>
      <c r="G16" s="7"/>
      <c r="H16" s="7"/>
    </row>
    <row r="17" spans="1:8" x14ac:dyDescent="0.25">
      <c r="A17" s="7" t="s">
        <v>15</v>
      </c>
      <c r="B17" s="7">
        <v>30000</v>
      </c>
      <c r="C17" s="7">
        <v>45065.46</v>
      </c>
      <c r="D17" s="11">
        <f t="shared" si="1"/>
        <v>-15065.46</v>
      </c>
      <c r="G17" s="7"/>
      <c r="H17" s="7"/>
    </row>
    <row r="18" spans="1:8" x14ac:dyDescent="0.25">
      <c r="A18" s="7" t="s">
        <v>16</v>
      </c>
      <c r="B18" s="7">
        <v>1100</v>
      </c>
      <c r="C18" s="7">
        <v>1015.55</v>
      </c>
      <c r="D18" s="11">
        <f t="shared" si="1"/>
        <v>84.450000000000045</v>
      </c>
      <c r="G18" s="7"/>
      <c r="H18" s="7"/>
    </row>
    <row r="19" spans="1:8" x14ac:dyDescent="0.25">
      <c r="A19" s="7" t="s">
        <v>17</v>
      </c>
      <c r="B19" s="7">
        <v>16458</v>
      </c>
      <c r="C19" s="7">
        <v>9122.6299999999992</v>
      </c>
      <c r="D19" s="11">
        <f t="shared" si="1"/>
        <v>7335.3700000000008</v>
      </c>
      <c r="G19" s="7"/>
      <c r="H19" s="7"/>
    </row>
    <row r="20" spans="1:8" x14ac:dyDescent="0.25">
      <c r="A20" s="7" t="s">
        <v>18</v>
      </c>
      <c r="B20" s="7">
        <v>30600</v>
      </c>
      <c r="C20" s="7">
        <v>22282.799999999999</v>
      </c>
      <c r="D20" s="11">
        <f t="shared" si="1"/>
        <v>8317.2000000000007</v>
      </c>
      <c r="G20" s="7"/>
      <c r="H20" s="7"/>
    </row>
    <row r="21" spans="1:8" x14ac:dyDescent="0.25">
      <c r="A21" s="7" t="s">
        <v>19</v>
      </c>
      <c r="B21" s="7">
        <v>64338</v>
      </c>
      <c r="C21" s="7">
        <v>41002.5</v>
      </c>
      <c r="D21" s="11">
        <f t="shared" si="1"/>
        <v>23335.5</v>
      </c>
      <c r="F21" s="13" t="s">
        <v>75</v>
      </c>
      <c r="G21" s="7"/>
      <c r="H21" s="7"/>
    </row>
    <row r="22" spans="1:8" x14ac:dyDescent="0.25">
      <c r="A22" s="7" t="s">
        <v>20</v>
      </c>
      <c r="B22" s="7">
        <v>24020</v>
      </c>
      <c r="C22" s="7">
        <v>33645</v>
      </c>
      <c r="D22" s="11">
        <f t="shared" si="1"/>
        <v>-9625</v>
      </c>
      <c r="G22" s="7"/>
      <c r="H22" s="7"/>
    </row>
    <row r="23" spans="1:8" ht="26.25" x14ac:dyDescent="0.25">
      <c r="A23" s="7" t="s">
        <v>21</v>
      </c>
      <c r="B23" s="7">
        <v>136525</v>
      </c>
      <c r="C23" s="7">
        <v>68673.75</v>
      </c>
      <c r="D23" s="11">
        <f t="shared" si="1"/>
        <v>67851.25</v>
      </c>
      <c r="F23" s="14" t="s">
        <v>101</v>
      </c>
      <c r="G23" s="7"/>
      <c r="H23" s="7"/>
    </row>
    <row r="24" spans="1:8" x14ac:dyDescent="0.25">
      <c r="A24" s="7" t="s">
        <v>22</v>
      </c>
      <c r="B24" s="7">
        <v>9300</v>
      </c>
      <c r="C24" s="7">
        <v>7437.5</v>
      </c>
      <c r="D24" s="11">
        <f t="shared" si="1"/>
        <v>1862.5</v>
      </c>
      <c r="G24" s="7"/>
      <c r="H24" s="7"/>
    </row>
    <row r="25" spans="1:8" x14ac:dyDescent="0.25">
      <c r="A25" s="7" t="s">
        <v>23</v>
      </c>
      <c r="B25" s="7">
        <v>8750</v>
      </c>
      <c r="C25" s="7">
        <v>103</v>
      </c>
      <c r="D25" s="11">
        <f t="shared" si="1"/>
        <v>8647</v>
      </c>
      <c r="G25" s="7"/>
      <c r="H25" s="7"/>
    </row>
    <row r="26" spans="1:8" ht="26.25" x14ac:dyDescent="0.25">
      <c r="A26" s="7" t="s">
        <v>24</v>
      </c>
      <c r="B26" s="7">
        <v>24000</v>
      </c>
      <c r="C26" s="7">
        <v>148221.07</v>
      </c>
      <c r="D26" s="11">
        <f t="shared" si="1"/>
        <v>-124221.07</v>
      </c>
      <c r="F26" s="14" t="s">
        <v>155</v>
      </c>
      <c r="G26" s="7"/>
      <c r="H26" s="7"/>
    </row>
    <row r="27" spans="1:8" x14ac:dyDescent="0.25">
      <c r="A27" s="7" t="s">
        <v>25</v>
      </c>
      <c r="B27" s="7">
        <v>92380</v>
      </c>
      <c r="C27" s="7">
        <v>84096.01</v>
      </c>
      <c r="D27" s="11">
        <f t="shared" si="1"/>
        <v>8283.9900000000052</v>
      </c>
      <c r="G27" s="7"/>
      <c r="H27" s="7"/>
    </row>
    <row r="28" spans="1:8" x14ac:dyDescent="0.25">
      <c r="A28" s="7" t="s">
        <v>26</v>
      </c>
      <c r="B28" s="7">
        <v>8350</v>
      </c>
      <c r="C28" s="7">
        <v>5968.67</v>
      </c>
      <c r="D28" s="11">
        <f t="shared" si="1"/>
        <v>2381.33</v>
      </c>
      <c r="G28" s="7"/>
      <c r="H28" s="7"/>
    </row>
    <row r="29" spans="1:8" x14ac:dyDescent="0.25">
      <c r="A29" s="7" t="s">
        <v>27</v>
      </c>
      <c r="B29" s="7">
        <v>14500</v>
      </c>
      <c r="C29" s="7">
        <v>13963.08</v>
      </c>
      <c r="D29" s="11">
        <f t="shared" si="1"/>
        <v>536.92000000000007</v>
      </c>
      <c r="G29" s="7"/>
      <c r="H29" s="7"/>
    </row>
    <row r="30" spans="1:8" x14ac:dyDescent="0.25">
      <c r="A30" s="7" t="s">
        <v>28</v>
      </c>
      <c r="B30" s="7">
        <v>19896</v>
      </c>
      <c r="C30" s="7">
        <v>17938.259999999998</v>
      </c>
      <c r="D30" s="11">
        <f t="shared" si="1"/>
        <v>1957.7400000000016</v>
      </c>
      <c r="G30" s="7"/>
      <c r="H30" s="7"/>
    </row>
    <row r="31" spans="1:8" x14ac:dyDescent="0.25">
      <c r="A31" s="7" t="s">
        <v>29</v>
      </c>
      <c r="B31" s="7">
        <v>28790.639999999999</v>
      </c>
      <c r="C31" s="7">
        <v>31617.77</v>
      </c>
      <c r="D31" s="11">
        <f t="shared" si="1"/>
        <v>-2827.130000000001</v>
      </c>
      <c r="G31" s="7"/>
      <c r="H31" s="7"/>
    </row>
    <row r="32" spans="1:8" x14ac:dyDescent="0.25">
      <c r="A32" s="7" t="s">
        <v>30</v>
      </c>
      <c r="B32" s="7">
        <v>92802.6</v>
      </c>
      <c r="C32" s="7">
        <v>75789.88</v>
      </c>
      <c r="D32" s="11">
        <f t="shared" si="1"/>
        <v>17012.72</v>
      </c>
      <c r="G32" s="7"/>
      <c r="H32" s="7"/>
    </row>
    <row r="33" spans="1:8" x14ac:dyDescent="0.25">
      <c r="A33" s="7" t="s">
        <v>31</v>
      </c>
      <c r="B33" s="7">
        <v>8785</v>
      </c>
      <c r="C33" s="7">
        <v>7585.07</v>
      </c>
      <c r="D33" s="11">
        <f t="shared" si="1"/>
        <v>1199.9300000000003</v>
      </c>
      <c r="G33" s="7"/>
      <c r="H33" s="7"/>
    </row>
    <row r="34" spans="1:8" x14ac:dyDescent="0.25">
      <c r="A34" s="7" t="s">
        <v>32</v>
      </c>
      <c r="B34" s="7">
        <v>51100</v>
      </c>
      <c r="C34" s="7">
        <v>46598.45</v>
      </c>
      <c r="D34" s="11">
        <f t="shared" si="1"/>
        <v>4501.5500000000029</v>
      </c>
      <c r="F34" s="13" t="s">
        <v>87</v>
      </c>
      <c r="G34" s="7"/>
      <c r="H34" s="7"/>
    </row>
    <row r="35" spans="1:8" x14ac:dyDescent="0.25">
      <c r="A35" s="7" t="s">
        <v>33</v>
      </c>
      <c r="C35" s="7">
        <v>506.59</v>
      </c>
      <c r="D35" s="11">
        <f t="shared" si="1"/>
        <v>-506.59</v>
      </c>
      <c r="G35" s="7"/>
      <c r="H35" s="7"/>
    </row>
    <row r="36" spans="1:8" x14ac:dyDescent="0.25">
      <c r="A36" s="7" t="s">
        <v>34</v>
      </c>
      <c r="B36" s="7">
        <v>27687.84</v>
      </c>
      <c r="C36" s="7">
        <v>20704.439999999999</v>
      </c>
      <c r="D36" s="11">
        <f t="shared" si="1"/>
        <v>6983.4000000000015</v>
      </c>
      <c r="G36" s="7"/>
      <c r="H36" s="7"/>
    </row>
    <row r="37" spans="1:8" x14ac:dyDescent="0.25">
      <c r="A37" s="7" t="s">
        <v>35</v>
      </c>
      <c r="B37" s="7">
        <v>336110</v>
      </c>
      <c r="C37" s="7">
        <v>42709</v>
      </c>
      <c r="D37" s="11">
        <f t="shared" si="1"/>
        <v>293401</v>
      </c>
      <c r="F37" s="13" t="s">
        <v>89</v>
      </c>
      <c r="G37" s="7"/>
      <c r="H37" s="7"/>
    </row>
    <row r="38" spans="1:8" x14ac:dyDescent="0.25">
      <c r="A38" s="7" t="s">
        <v>36</v>
      </c>
      <c r="B38" s="7">
        <v>309927</v>
      </c>
      <c r="C38" s="7">
        <v>225698.12</v>
      </c>
      <c r="D38" s="11">
        <f t="shared" si="1"/>
        <v>84228.88</v>
      </c>
      <c r="F38" s="13" t="s">
        <v>157</v>
      </c>
      <c r="G38" s="7"/>
      <c r="H38" s="7"/>
    </row>
    <row r="39" spans="1:8" x14ac:dyDescent="0.25">
      <c r="A39" s="7" t="s">
        <v>37</v>
      </c>
      <c r="B39" s="7">
        <v>60000</v>
      </c>
      <c r="C39" s="7">
        <v>59610.400000000001</v>
      </c>
      <c r="D39" s="11">
        <f t="shared" si="1"/>
        <v>389.59999999999854</v>
      </c>
      <c r="G39" s="7"/>
      <c r="H39" s="7"/>
    </row>
    <row r="40" spans="1:8" x14ac:dyDescent="0.25">
      <c r="A40" s="7" t="s">
        <v>38</v>
      </c>
      <c r="B40" s="7">
        <v>81875</v>
      </c>
      <c r="C40" s="7">
        <v>87965.29</v>
      </c>
      <c r="D40" s="11">
        <f t="shared" si="1"/>
        <v>-6090.2899999999936</v>
      </c>
      <c r="G40" s="7"/>
      <c r="H40" s="7"/>
    </row>
    <row r="41" spans="1:8" x14ac:dyDescent="0.25">
      <c r="A41" s="7" t="s">
        <v>39</v>
      </c>
      <c r="B41" s="7">
        <v>273900</v>
      </c>
      <c r="C41" s="7">
        <v>341868.88</v>
      </c>
      <c r="D41" s="11">
        <f t="shared" si="1"/>
        <v>-67968.88</v>
      </c>
      <c r="F41" s="13" t="s">
        <v>90</v>
      </c>
      <c r="G41" s="7"/>
      <c r="H41" s="7"/>
    </row>
    <row r="42" spans="1:8" x14ac:dyDescent="0.25">
      <c r="A42" s="7" t="s">
        <v>40</v>
      </c>
      <c r="B42" s="7">
        <v>39660</v>
      </c>
      <c r="C42" s="7">
        <v>22260.95</v>
      </c>
      <c r="D42" s="11">
        <f t="shared" si="1"/>
        <v>17399.05</v>
      </c>
      <c r="F42" s="13" t="s">
        <v>88</v>
      </c>
      <c r="G42" s="7"/>
      <c r="H42" s="7"/>
    </row>
    <row r="43" spans="1:8" x14ac:dyDescent="0.25">
      <c r="A43" s="7" t="s">
        <v>42</v>
      </c>
      <c r="B43" s="7">
        <v>5105</v>
      </c>
      <c r="C43" s="7">
        <v>5126.18</v>
      </c>
      <c r="D43" s="11">
        <f t="shared" si="1"/>
        <v>-21.180000000000291</v>
      </c>
      <c r="G43" s="7"/>
      <c r="H43" s="7"/>
    </row>
    <row r="44" spans="1:8" x14ac:dyDescent="0.25">
      <c r="A44" s="7" t="s">
        <v>43</v>
      </c>
      <c r="B44" s="7">
        <v>2600</v>
      </c>
      <c r="C44" s="7">
        <v>1756.49</v>
      </c>
      <c r="D44" s="11">
        <f t="shared" si="1"/>
        <v>843.51</v>
      </c>
      <c r="G44" s="7"/>
      <c r="H44" s="7"/>
    </row>
    <row r="45" spans="1:8" x14ac:dyDescent="0.25">
      <c r="A45" s="7" t="s">
        <v>44</v>
      </c>
      <c r="B45" s="7">
        <v>2100</v>
      </c>
      <c r="C45" s="7">
        <v>1975.52</v>
      </c>
      <c r="D45" s="11">
        <f t="shared" si="1"/>
        <v>124.48000000000002</v>
      </c>
      <c r="G45" s="7"/>
      <c r="H45" s="7"/>
    </row>
    <row r="46" spans="1:8" x14ac:dyDescent="0.25">
      <c r="A46" s="7" t="s">
        <v>45</v>
      </c>
      <c r="B46" s="7">
        <v>4665</v>
      </c>
      <c r="C46" s="7">
        <v>9384.99</v>
      </c>
      <c r="D46" s="11">
        <f t="shared" si="1"/>
        <v>-4719.99</v>
      </c>
      <c r="G46" s="7"/>
      <c r="H46" s="7"/>
    </row>
    <row r="47" spans="1:8" x14ac:dyDescent="0.25">
      <c r="A47" s="7" t="s">
        <v>46</v>
      </c>
      <c r="B47" s="7">
        <v>14700</v>
      </c>
      <c r="C47" s="7">
        <v>2878.97</v>
      </c>
      <c r="D47" s="11">
        <f t="shared" si="1"/>
        <v>11821.03</v>
      </c>
      <c r="F47" s="13" t="s">
        <v>120</v>
      </c>
      <c r="G47" s="7"/>
      <c r="H47" s="7"/>
    </row>
    <row r="48" spans="1:8" x14ac:dyDescent="0.25">
      <c r="A48" s="7" t="s">
        <v>47</v>
      </c>
      <c r="B48" s="7">
        <v>15920</v>
      </c>
      <c r="C48" s="7">
        <v>10189.33</v>
      </c>
      <c r="D48" s="11">
        <f t="shared" si="1"/>
        <v>5730.67</v>
      </c>
      <c r="F48" s="13" t="s">
        <v>121</v>
      </c>
      <c r="G48" s="7"/>
      <c r="H48" s="7"/>
    </row>
    <row r="49" spans="1:9" x14ac:dyDescent="0.25">
      <c r="A49" s="7" t="s">
        <v>48</v>
      </c>
      <c r="B49" s="7">
        <v>7740</v>
      </c>
      <c r="C49" s="7">
        <v>4829.3599999999997</v>
      </c>
      <c r="D49" s="11">
        <f t="shared" si="1"/>
        <v>2910.6400000000003</v>
      </c>
      <c r="F49" s="13" t="s">
        <v>102</v>
      </c>
      <c r="G49" s="7"/>
      <c r="H49" s="7"/>
    </row>
    <row r="50" spans="1:9" x14ac:dyDescent="0.25">
      <c r="A50" s="7" t="s">
        <v>49</v>
      </c>
      <c r="B50" s="7">
        <v>44470</v>
      </c>
      <c r="C50" s="7">
        <v>28544.57</v>
      </c>
      <c r="D50" s="11">
        <f t="shared" si="1"/>
        <v>15925.43</v>
      </c>
      <c r="F50" s="13" t="s">
        <v>95</v>
      </c>
      <c r="G50" s="7"/>
      <c r="H50" s="7"/>
    </row>
    <row r="51" spans="1:9" x14ac:dyDescent="0.25">
      <c r="A51" s="7" t="s">
        <v>50</v>
      </c>
      <c r="B51" s="7">
        <v>3400</v>
      </c>
      <c r="C51" s="7">
        <v>5165.3</v>
      </c>
      <c r="D51" s="11">
        <f t="shared" si="1"/>
        <v>-1765.3000000000002</v>
      </c>
      <c r="G51" s="7"/>
      <c r="H51" s="7"/>
    </row>
    <row r="52" spans="1:9" x14ac:dyDescent="0.25">
      <c r="A52" s="7" t="s">
        <v>51</v>
      </c>
      <c r="C52" s="7">
        <v>500</v>
      </c>
      <c r="D52" s="11">
        <f t="shared" si="1"/>
        <v>-500</v>
      </c>
      <c r="G52" s="7"/>
      <c r="H52" s="7"/>
    </row>
    <row r="53" spans="1:9" x14ac:dyDescent="0.25">
      <c r="A53" s="7" t="s">
        <v>52</v>
      </c>
      <c r="B53" s="7">
        <v>100000</v>
      </c>
      <c r="C53" s="7">
        <v>99017.93</v>
      </c>
      <c r="D53" s="11">
        <f t="shared" si="1"/>
        <v>982.07000000000698</v>
      </c>
      <c r="G53" s="7"/>
      <c r="H53" s="7"/>
    </row>
    <row r="54" spans="1:9" x14ac:dyDescent="0.25">
      <c r="A54" s="2" t="s">
        <v>53</v>
      </c>
      <c r="B54" s="19">
        <f>SUM(B13:B53)</f>
        <v>4296401.3900000006</v>
      </c>
      <c r="C54" s="19">
        <f>SUM(C13:C53)</f>
        <v>3514939.7199999997</v>
      </c>
      <c r="D54" s="19">
        <f>B54-C54</f>
        <v>781461.67000000086</v>
      </c>
      <c r="G54" s="7"/>
      <c r="H54" s="7"/>
    </row>
    <row r="55" spans="1:9" x14ac:dyDescent="0.25">
      <c r="A55" s="2"/>
      <c r="B55" s="2"/>
      <c r="C55" s="2"/>
      <c r="D55" s="2"/>
      <c r="H55" s="7"/>
    </row>
    <row r="56" spans="1:9" x14ac:dyDescent="0.25">
      <c r="A56" s="2" t="s">
        <v>77</v>
      </c>
      <c r="B56" s="19">
        <f>B11-B54</f>
        <v>-854506.3900000006</v>
      </c>
      <c r="C56" s="19">
        <f>C11-C54-1</f>
        <v>403616.63000000035</v>
      </c>
      <c r="D56" s="19">
        <f>B56-C56</f>
        <v>-1258123.0200000009</v>
      </c>
      <c r="F56" s="14"/>
      <c r="I56" s="7"/>
    </row>
    <row r="57" spans="1:9" ht="14.25" customHeight="1" x14ac:dyDescent="0.25">
      <c r="A57" s="2"/>
      <c r="B57" s="2"/>
      <c r="C57" s="2"/>
      <c r="D57" s="2"/>
    </row>
    <row r="58" spans="1:9" x14ac:dyDescent="0.25">
      <c r="A58" s="17" t="s">
        <v>7</v>
      </c>
      <c r="B58" s="17">
        <v>120000</v>
      </c>
      <c r="C58" s="17">
        <v>648910</v>
      </c>
      <c r="D58" s="17">
        <f>B58-C58</f>
        <v>-528910</v>
      </c>
    </row>
    <row r="59" spans="1:9" ht="14.25" customHeight="1" x14ac:dyDescent="0.25">
      <c r="A59" s="17" t="s">
        <v>107</v>
      </c>
      <c r="B59" s="17">
        <f>8300000*0.04</f>
        <v>332000</v>
      </c>
      <c r="C59" s="2">
        <v>0</v>
      </c>
      <c r="D59" s="17">
        <f>B59-C59</f>
        <v>332000</v>
      </c>
    </row>
    <row r="60" spans="1:9" ht="14.25" customHeight="1" x14ac:dyDescent="0.25">
      <c r="A60" s="17"/>
      <c r="B60" s="2"/>
      <c r="C60" s="2"/>
      <c r="D60" s="2"/>
    </row>
    <row r="61" spans="1:9" ht="14.25" customHeight="1" x14ac:dyDescent="0.25">
      <c r="A61" s="2" t="s">
        <v>78</v>
      </c>
      <c r="B61" s="37">
        <f>B56+B58+B59</f>
        <v>-402506.3900000006</v>
      </c>
      <c r="C61" s="37">
        <f>C56+C58+C59</f>
        <v>1052526.6300000004</v>
      </c>
      <c r="D61" s="37">
        <f>D56+D58+D59</f>
        <v>-1455033.0200000009</v>
      </c>
    </row>
    <row r="62" spans="1:9" ht="14.25" customHeight="1" x14ac:dyDescent="0.25">
      <c r="A62" s="2"/>
      <c r="B62" s="22"/>
      <c r="C62" s="22"/>
      <c r="D62" s="22"/>
      <c r="E62" s="3"/>
      <c r="F62" s="23"/>
    </row>
    <row r="63" spans="1:9" ht="14.25" customHeight="1" x14ac:dyDescent="0.25">
      <c r="A63" s="2" t="s">
        <v>82</v>
      </c>
      <c r="B63" s="22">
        <f>'FY27 Budget '!B22</f>
        <v>400000</v>
      </c>
      <c r="C63" s="22"/>
      <c r="D63" s="22"/>
      <c r="E63" s="3"/>
      <c r="F63" s="23"/>
    </row>
    <row r="64" spans="1:9" ht="14.25" customHeight="1" x14ac:dyDescent="0.25">
      <c r="A64" s="2"/>
      <c r="B64" s="22"/>
      <c r="C64" s="22"/>
      <c r="D64" s="22"/>
      <c r="E64" s="3"/>
      <c r="F64" s="23"/>
    </row>
    <row r="65" spans="1:6" ht="14.25" customHeight="1" x14ac:dyDescent="0.25">
      <c r="A65" s="2" t="s">
        <v>81</v>
      </c>
      <c r="B65" s="22">
        <f>'FY27 Budget '!B24</f>
        <v>2506</v>
      </c>
      <c r="C65" s="22"/>
      <c r="D65" s="22"/>
      <c r="E65" s="3"/>
      <c r="F65" s="23"/>
    </row>
    <row r="66" spans="1:6" ht="14.25" customHeight="1" x14ac:dyDescent="0.25">
      <c r="A66" s="2"/>
      <c r="B66" s="22"/>
      <c r="C66" s="22"/>
      <c r="D66" s="22"/>
      <c r="E66" s="3"/>
      <c r="F66" s="23"/>
    </row>
    <row r="67" spans="1:6" ht="14.25" customHeight="1" x14ac:dyDescent="0.25">
      <c r="A67" s="2" t="s">
        <v>79</v>
      </c>
      <c r="B67" s="22">
        <f>SUM(B61:B66)</f>
        <v>-0.39000000059604645</v>
      </c>
      <c r="C67" s="22"/>
      <c r="D67" s="22"/>
      <c r="E67" s="3"/>
      <c r="F67" s="23"/>
    </row>
    <row r="68" spans="1:6" ht="14.25" customHeight="1" x14ac:dyDescent="0.25">
      <c r="B68" s="3"/>
      <c r="C68" s="3"/>
      <c r="D68" s="3"/>
      <c r="E68" s="3"/>
      <c r="F68" s="23"/>
    </row>
    <row r="69" spans="1:6" ht="14.25" customHeight="1" x14ac:dyDescent="0.25"/>
    <row r="70" spans="1:6" ht="14.25" customHeight="1" x14ac:dyDescent="0.25"/>
    <row r="71" spans="1:6" ht="14.25" customHeight="1" x14ac:dyDescent="0.25"/>
    <row r="72" spans="1:6" ht="14.25" customHeight="1" x14ac:dyDescent="0.25"/>
    <row r="73" spans="1:6" ht="14.25" customHeight="1" x14ac:dyDescent="0.25"/>
    <row r="74" spans="1:6" ht="14.25" customHeight="1" x14ac:dyDescent="0.25"/>
    <row r="75" spans="1:6" ht="14.25" customHeight="1" x14ac:dyDescent="0.25"/>
    <row r="76" spans="1:6" ht="14.25" customHeight="1" x14ac:dyDescent="0.25"/>
    <row r="77" spans="1:6" ht="14.25" customHeight="1" x14ac:dyDescent="0.25"/>
    <row r="78" spans="1:6" ht="14.25" customHeight="1" x14ac:dyDescent="0.25"/>
    <row r="79" spans="1:6" ht="14.25" customHeight="1" x14ac:dyDescent="0.25"/>
    <row r="80" spans="1:6" ht="14.25" customHeight="1" x14ac:dyDescent="0.25"/>
    <row r="81" ht="14.25" customHeight="1" x14ac:dyDescent="0.25"/>
    <row r="82" ht="14.25" customHeight="1" x14ac:dyDescent="0.25"/>
  </sheetData>
  <mergeCells count="2">
    <mergeCell ref="A1:D1"/>
    <mergeCell ref="A3:D3"/>
  </mergeCells>
  <pageMargins left="0.25" right="0.25" top="0.75" bottom="0.75" header="0.3" footer="0.3"/>
  <pageSetup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0FB7-0C0B-43BF-99FA-097243DFA481}">
  <dimension ref="A1:H38"/>
  <sheetViews>
    <sheetView workbookViewId="0">
      <selection activeCell="H7" sqref="H7"/>
    </sheetView>
  </sheetViews>
  <sheetFormatPr defaultColWidth="9.140625" defaultRowHeight="16.5" x14ac:dyDescent="0.3"/>
  <cols>
    <col min="1" max="1" width="14.5703125" style="54" customWidth="1"/>
    <col min="2" max="2" width="7.5703125" style="54" customWidth="1"/>
    <col min="3" max="3" width="38.7109375" style="54" customWidth="1"/>
    <col min="4" max="4" width="14.85546875" style="54" customWidth="1"/>
    <col min="5" max="5" width="3.140625" style="54" customWidth="1"/>
    <col min="6" max="6" width="14.5703125" style="54" bestFit="1" customWidth="1"/>
    <col min="7" max="7" width="27.140625" style="54" customWidth="1"/>
    <col min="8" max="8" width="16" style="54" bestFit="1" customWidth="1"/>
    <col min="9" max="10" width="9.140625" style="54"/>
    <col min="11" max="11" width="12.5703125" style="54" customWidth="1"/>
    <col min="12" max="16384" width="9.140625" style="54"/>
  </cols>
  <sheetData>
    <row r="1" spans="1:8" x14ac:dyDescent="0.3">
      <c r="A1" s="86" t="s">
        <v>154</v>
      </c>
      <c r="B1" s="86"/>
      <c r="C1" s="86"/>
      <c r="D1" s="86"/>
      <c r="E1" s="86"/>
    </row>
    <row r="2" spans="1:8" x14ac:dyDescent="0.3">
      <c r="A2" s="86" t="s">
        <v>153</v>
      </c>
      <c r="B2" s="86"/>
      <c r="C2" s="86"/>
      <c r="D2" s="86"/>
      <c r="E2" s="86"/>
    </row>
    <row r="3" spans="1:8" x14ac:dyDescent="0.3">
      <c r="A3" s="86" t="s">
        <v>152</v>
      </c>
      <c r="B3" s="86"/>
      <c r="C3" s="86"/>
      <c r="D3" s="86"/>
      <c r="E3" s="86"/>
    </row>
    <row r="4" spans="1:8" x14ac:dyDescent="0.3">
      <c r="A4" s="87"/>
      <c r="B4" s="87"/>
      <c r="C4" s="87"/>
      <c r="D4" s="87"/>
      <c r="E4" s="87"/>
    </row>
    <row r="5" spans="1:8" x14ac:dyDescent="0.3">
      <c r="A5" s="78"/>
      <c r="B5" s="88"/>
      <c r="C5" s="88"/>
      <c r="D5" s="77" t="s">
        <v>151</v>
      </c>
      <c r="E5" s="76"/>
    </row>
    <row r="6" spans="1:8" x14ac:dyDescent="0.3">
      <c r="A6" s="84" t="s">
        <v>150</v>
      </c>
      <c r="B6" s="84"/>
      <c r="C6" s="84"/>
      <c r="D6" s="75"/>
      <c r="E6" s="75"/>
    </row>
    <row r="7" spans="1:8" x14ac:dyDescent="0.3">
      <c r="A7" s="84" t="s">
        <v>149</v>
      </c>
      <c r="B7" s="84"/>
      <c r="C7" s="84"/>
      <c r="D7" s="74">
        <v>522734</v>
      </c>
      <c r="E7" s="67"/>
      <c r="F7" s="55"/>
      <c r="G7" s="73" t="s">
        <v>148</v>
      </c>
      <c r="H7" s="72">
        <f>D7+D8+D9-D20-500000</f>
        <v>2941490</v>
      </c>
    </row>
    <row r="8" spans="1:8" x14ac:dyDescent="0.3">
      <c r="A8" s="84" t="s">
        <v>147</v>
      </c>
      <c r="B8" s="84"/>
      <c r="C8" s="84"/>
      <c r="D8" s="71">
        <v>2726360</v>
      </c>
      <c r="E8" s="70"/>
      <c r="F8" s="55"/>
    </row>
    <row r="9" spans="1:8" x14ac:dyDescent="0.3">
      <c r="A9" s="84" t="s">
        <v>146</v>
      </c>
      <c r="B9" s="84"/>
      <c r="C9" s="84"/>
      <c r="D9" s="71">
        <v>300000</v>
      </c>
      <c r="E9" s="70"/>
      <c r="F9" s="55"/>
      <c r="H9" s="69"/>
    </row>
    <row r="10" spans="1:8" x14ac:dyDescent="0.3">
      <c r="A10" s="84" t="s">
        <v>145</v>
      </c>
      <c r="B10" s="84"/>
      <c r="C10" s="84"/>
      <c r="D10" s="55">
        <v>1519195</v>
      </c>
      <c r="E10" s="67"/>
      <c r="F10" s="55"/>
      <c r="G10" s="56"/>
      <c r="H10" s="69"/>
    </row>
    <row r="11" spans="1:8" x14ac:dyDescent="0.3">
      <c r="A11" s="84" t="s">
        <v>144</v>
      </c>
      <c r="B11" s="84"/>
      <c r="C11" s="84"/>
      <c r="D11" s="55">
        <v>15082</v>
      </c>
      <c r="E11" s="67"/>
      <c r="F11" s="55"/>
    </row>
    <row r="12" spans="1:8" x14ac:dyDescent="0.3">
      <c r="A12" s="84" t="s">
        <v>143</v>
      </c>
      <c r="B12" s="84"/>
      <c r="C12" s="84"/>
      <c r="D12" s="55">
        <v>5666624</v>
      </c>
      <c r="E12" s="67"/>
      <c r="F12" s="55"/>
    </row>
    <row r="13" spans="1:8" x14ac:dyDescent="0.3">
      <c r="A13" s="84" t="s">
        <v>142</v>
      </c>
      <c r="B13" s="84"/>
      <c r="C13" s="84"/>
      <c r="D13" s="55">
        <v>1722502</v>
      </c>
      <c r="E13" s="67"/>
      <c r="F13" s="55"/>
    </row>
    <row r="14" spans="1:8" ht="17.25" thickBot="1" x14ac:dyDescent="0.35">
      <c r="A14" s="84" t="s">
        <v>141</v>
      </c>
      <c r="B14" s="84"/>
      <c r="C14" s="84"/>
      <c r="D14" s="58">
        <f>SUM(D7:D13)</f>
        <v>12472497</v>
      </c>
      <c r="E14" s="57"/>
      <c r="F14" s="55"/>
    </row>
    <row r="15" spans="1:8" ht="17.25" thickTop="1" x14ac:dyDescent="0.3">
      <c r="D15" s="61"/>
      <c r="E15" s="60"/>
      <c r="F15" s="55"/>
    </row>
    <row r="16" spans="1:8" x14ac:dyDescent="0.3">
      <c r="A16" s="84" t="s">
        <v>140</v>
      </c>
      <c r="B16" s="84"/>
      <c r="C16" s="84"/>
      <c r="D16" s="61"/>
      <c r="E16" s="60"/>
      <c r="F16" s="55"/>
    </row>
    <row r="17" spans="1:6" x14ac:dyDescent="0.3">
      <c r="A17" s="84" t="s">
        <v>139</v>
      </c>
      <c r="B17" s="84"/>
      <c r="C17" s="84"/>
      <c r="D17" s="61"/>
      <c r="E17" s="60"/>
      <c r="F17" s="55"/>
    </row>
    <row r="18" spans="1:6" x14ac:dyDescent="0.3">
      <c r="A18" s="84" t="s">
        <v>138</v>
      </c>
      <c r="B18" s="84"/>
      <c r="C18" s="84"/>
      <c r="D18" s="68">
        <v>2105</v>
      </c>
      <c r="E18" s="67"/>
      <c r="F18" s="55"/>
    </row>
    <row r="19" spans="1:6" x14ac:dyDescent="0.3">
      <c r="A19" s="85" t="s">
        <v>137</v>
      </c>
      <c r="B19" s="85"/>
      <c r="C19" s="85"/>
      <c r="D19" s="68">
        <v>105499</v>
      </c>
      <c r="E19" s="67"/>
      <c r="F19" s="55"/>
    </row>
    <row r="20" spans="1:6" x14ac:dyDescent="0.3">
      <c r="A20" s="84" t="s">
        <v>136</v>
      </c>
      <c r="B20" s="84"/>
      <c r="C20" s="84"/>
      <c r="D20" s="62">
        <f>SUM(D18:D19)</f>
        <v>107604</v>
      </c>
      <c r="E20" s="57"/>
      <c r="F20" s="55"/>
    </row>
    <row r="21" spans="1:6" x14ac:dyDescent="0.3">
      <c r="D21" s="61"/>
      <c r="E21" s="60"/>
      <c r="F21" s="55"/>
    </row>
    <row r="22" spans="1:6" x14ac:dyDescent="0.3">
      <c r="A22" s="84" t="s">
        <v>135</v>
      </c>
      <c r="B22" s="84"/>
      <c r="C22" s="84"/>
      <c r="D22" s="61"/>
      <c r="E22" s="60"/>
      <c r="F22" s="55"/>
    </row>
    <row r="23" spans="1:6" x14ac:dyDescent="0.3">
      <c r="A23" s="84" t="s">
        <v>134</v>
      </c>
      <c r="B23" s="84"/>
      <c r="C23" s="84"/>
      <c r="D23" s="61"/>
      <c r="E23" s="60"/>
      <c r="F23" s="55"/>
    </row>
    <row r="24" spans="1:6" x14ac:dyDescent="0.3">
      <c r="A24" s="84" t="s">
        <v>133</v>
      </c>
      <c r="B24" s="84"/>
      <c r="C24" s="84"/>
      <c r="D24" s="63">
        <f>5981352-D25</f>
        <v>4258850</v>
      </c>
      <c r="E24" s="57"/>
      <c r="F24" s="55"/>
    </row>
    <row r="25" spans="1:6" x14ac:dyDescent="0.3">
      <c r="A25" s="59" t="s">
        <v>132</v>
      </c>
      <c r="B25" s="59"/>
      <c r="C25" s="59"/>
      <c r="D25" s="55">
        <f>D13</f>
        <v>1722502</v>
      </c>
      <c r="E25" s="67"/>
      <c r="F25" s="55"/>
    </row>
    <row r="26" spans="1:6" x14ac:dyDescent="0.3">
      <c r="A26" s="84" t="s">
        <v>131</v>
      </c>
      <c r="B26" s="84"/>
      <c r="C26" s="84"/>
      <c r="D26" s="63">
        <v>0</v>
      </c>
      <c r="E26" s="57"/>
      <c r="F26" s="55"/>
    </row>
    <row r="27" spans="1:6" x14ac:dyDescent="0.3">
      <c r="A27" s="84" t="s">
        <v>130</v>
      </c>
      <c r="B27" s="84"/>
      <c r="C27" s="84"/>
      <c r="D27" s="62">
        <f>SUM(D24:D26)</f>
        <v>5981352</v>
      </c>
      <c r="E27" s="57"/>
      <c r="F27" s="55"/>
    </row>
    <row r="28" spans="1:6" x14ac:dyDescent="0.3">
      <c r="A28" s="66"/>
      <c r="B28" s="66"/>
      <c r="C28" s="66"/>
      <c r="D28" s="65"/>
      <c r="E28" s="64"/>
      <c r="F28" s="55"/>
    </row>
    <row r="29" spans="1:6" x14ac:dyDescent="0.3">
      <c r="A29" s="84" t="s">
        <v>129</v>
      </c>
      <c r="B29" s="84"/>
      <c r="C29" s="84"/>
      <c r="D29" s="63">
        <v>6383541</v>
      </c>
      <c r="E29" s="57"/>
      <c r="F29" s="55"/>
    </row>
    <row r="30" spans="1:6" x14ac:dyDescent="0.3">
      <c r="A30" s="84" t="s">
        <v>128</v>
      </c>
      <c r="B30" s="84"/>
      <c r="C30" s="84"/>
      <c r="D30" s="62">
        <f>D27+D29</f>
        <v>12364893</v>
      </c>
      <c r="E30" s="57"/>
      <c r="F30" s="55"/>
    </row>
    <row r="31" spans="1:6" x14ac:dyDescent="0.3">
      <c r="D31" s="61"/>
      <c r="E31" s="60"/>
      <c r="F31" s="55"/>
    </row>
    <row r="32" spans="1:6" ht="17.25" thickBot="1" x14ac:dyDescent="0.35">
      <c r="A32" s="84" t="s">
        <v>127</v>
      </c>
      <c r="B32" s="84"/>
      <c r="C32" s="84"/>
      <c r="D32" s="58">
        <f>D20+D30</f>
        <v>12472497</v>
      </c>
      <c r="E32" s="57"/>
      <c r="F32" s="55"/>
    </row>
    <row r="33" spans="4:6" ht="17.25" thickTop="1" x14ac:dyDescent="0.3">
      <c r="F33" s="55"/>
    </row>
    <row r="34" spans="4:6" x14ac:dyDescent="0.3">
      <c r="D34" s="56"/>
      <c r="F34" s="55"/>
    </row>
    <row r="35" spans="4:6" x14ac:dyDescent="0.3">
      <c r="D35" s="56"/>
      <c r="F35" s="55"/>
    </row>
    <row r="36" spans="4:6" x14ac:dyDescent="0.3">
      <c r="F36" s="55"/>
    </row>
    <row r="37" spans="4:6" x14ac:dyDescent="0.3">
      <c r="F37" s="55"/>
    </row>
    <row r="38" spans="4:6" x14ac:dyDescent="0.3">
      <c r="F38" s="55"/>
    </row>
  </sheetData>
  <mergeCells count="27">
    <mergeCell ref="A6:C6"/>
    <mergeCell ref="A1:E1"/>
    <mergeCell ref="A2:E2"/>
    <mergeCell ref="A3:E3"/>
    <mergeCell ref="A4:E4"/>
    <mergeCell ref="B5:C5"/>
    <mergeCell ref="A19:C19"/>
    <mergeCell ref="A7:C7"/>
    <mergeCell ref="A8:C8"/>
    <mergeCell ref="A9:C9"/>
    <mergeCell ref="A10:C10"/>
    <mergeCell ref="A11:C11"/>
    <mergeCell ref="A12:C12"/>
    <mergeCell ref="A13:C13"/>
    <mergeCell ref="A14:C14"/>
    <mergeCell ref="A16:C16"/>
    <mergeCell ref="A17:C17"/>
    <mergeCell ref="A18:C18"/>
    <mergeCell ref="A29:C29"/>
    <mergeCell ref="A30:C30"/>
    <mergeCell ref="A32:C32"/>
    <mergeCell ref="A20:C20"/>
    <mergeCell ref="A22:C22"/>
    <mergeCell ref="A23:C23"/>
    <mergeCell ref="A24:C24"/>
    <mergeCell ref="A26:C26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FY26 Projected v Budget</vt:lpstr>
      <vt:lpstr>FY27 Budget </vt:lpstr>
      <vt:lpstr>Development Revenue</vt:lpstr>
      <vt:lpstr>2027-2029</vt:lpstr>
      <vt:lpstr>FY27 Budget Detail </vt:lpstr>
      <vt:lpstr>Funding Resources</vt:lpstr>
      <vt:lpstr>'2027-2029'!Print_Area</vt:lpstr>
      <vt:lpstr>'Development Revenue'!Print_Area</vt:lpstr>
      <vt:lpstr>'FY26 Projected v Budget'!Print_Area</vt:lpstr>
      <vt:lpstr>'FY27 Budget '!Print_Area</vt:lpstr>
      <vt:lpstr>'FY27 Budget Detail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ContainerAdministrator</dc:creator>
  <cp:lastModifiedBy>Ann Kohler</cp:lastModifiedBy>
  <cp:lastPrinted>2026-04-30T19:00:30Z</cp:lastPrinted>
  <dcterms:created xsi:type="dcterms:W3CDTF">2026-04-28T20:25:35Z</dcterms:created>
  <dcterms:modified xsi:type="dcterms:W3CDTF">2026-05-07T14:02:09Z</dcterms:modified>
</cp:coreProperties>
</file>